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-60" windowWidth="32550" windowHeight="12960"/>
  </bookViews>
  <sheets>
    <sheet name="Odečtový list" sheetId="1" r:id="rId1"/>
    <sheet name="Podklady - nájemci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8" i="2" l="1"/>
  <c r="G18" i="2"/>
  <c r="D18" i="2"/>
  <c r="E16" i="2" l="1"/>
  <c r="AB24" i="1"/>
  <c r="AB22" i="1"/>
  <c r="N52" i="1" l="1"/>
  <c r="N49" i="1"/>
  <c r="N46" i="1"/>
  <c r="S23" i="1" l="1"/>
  <c r="R23" i="1"/>
  <c r="H49" i="1" l="1"/>
  <c r="H50" i="1" s="1"/>
  <c r="H46" i="1"/>
  <c r="H47" i="1" s="1"/>
  <c r="AC17" i="1"/>
  <c r="M46" i="1" l="1"/>
  <c r="M47" i="1" s="1"/>
  <c r="M49" i="1"/>
  <c r="M50" i="1" s="1"/>
  <c r="M52" i="1"/>
  <c r="M53" i="1" s="1"/>
  <c r="G47" i="1"/>
  <c r="G44" i="1"/>
  <c r="R52" i="1" l="1"/>
  <c r="R53" i="1" s="1"/>
  <c r="K20" i="2" s="1"/>
  <c r="R49" i="1"/>
  <c r="R50" i="1" s="1"/>
  <c r="R46" i="1"/>
  <c r="R47" i="1" s="1"/>
  <c r="U44" i="1" l="1"/>
  <c r="I46" i="1"/>
  <c r="I47" i="1" s="1"/>
  <c r="J46" i="1"/>
  <c r="J47" i="1" s="1"/>
  <c r="I49" i="1"/>
  <c r="I50" i="1" s="1"/>
  <c r="J49" i="1"/>
  <c r="J50" i="1" s="1"/>
  <c r="I52" i="1"/>
  <c r="I53" i="1" s="1"/>
  <c r="P20" i="2" s="1"/>
  <c r="J52" i="1"/>
  <c r="J53" i="1" s="1"/>
  <c r="S46" i="1"/>
  <c r="S47" i="1" s="1"/>
  <c r="U47" i="1" s="1"/>
  <c r="S49" i="1"/>
  <c r="S50" i="1" s="1"/>
  <c r="U50" i="1" s="1"/>
  <c r="S52" i="1"/>
  <c r="S53" i="1" s="1"/>
  <c r="L20" i="2" s="1"/>
  <c r="M20" i="2" s="1"/>
  <c r="S43" i="1"/>
  <c r="S44" i="1" s="1"/>
  <c r="M43" i="1"/>
  <c r="M44" i="1" s="1"/>
  <c r="N43" i="1"/>
  <c r="N44" i="1" s="1"/>
  <c r="E44" i="1"/>
  <c r="F44" i="1"/>
  <c r="E47" i="1"/>
  <c r="E50" i="1"/>
  <c r="E53" i="1"/>
  <c r="F41" i="1"/>
  <c r="G41" i="1"/>
  <c r="H43" i="1"/>
  <c r="H44" i="1" s="1"/>
  <c r="I43" i="1"/>
  <c r="I44" i="1" s="1"/>
  <c r="J43" i="1"/>
  <c r="J44" i="1" s="1"/>
  <c r="U53" i="1" l="1"/>
  <c r="R43" i="1"/>
  <c r="R44" i="1" s="1"/>
  <c r="U41" i="1" l="1"/>
  <c r="S40" i="1"/>
  <c r="R40" i="1"/>
  <c r="N40" i="1"/>
  <c r="M40" i="1"/>
  <c r="J40" i="1"/>
  <c r="I40" i="1"/>
  <c r="H40" i="1"/>
  <c r="D53" i="1"/>
  <c r="D50" i="1"/>
  <c r="G50" i="1" s="1"/>
  <c r="D47" i="1"/>
  <c r="D44" i="1"/>
  <c r="D41" i="1"/>
  <c r="G53" i="1" l="1"/>
  <c r="F53" i="1"/>
  <c r="F47" i="1"/>
  <c r="F50" i="1"/>
  <c r="AB17" i="1"/>
  <c r="AC16" i="1" l="1"/>
  <c r="V40" i="1" l="1"/>
  <c r="V41" i="1" s="1"/>
  <c r="U12" i="2" s="1"/>
  <c r="V43" i="1"/>
  <c r="V44" i="1" s="1"/>
  <c r="U14" i="2" s="1"/>
  <c r="V46" i="1"/>
  <c r="V47" i="1" s="1"/>
  <c r="U16" i="2" s="1"/>
  <c r="V49" i="1"/>
  <c r="V50" i="1" s="1"/>
  <c r="U18" i="2" s="1"/>
  <c r="V52" i="1"/>
  <c r="V53" i="1" s="1"/>
  <c r="U20" i="2" s="1"/>
  <c r="S37" i="1" l="1"/>
  <c r="R37" i="1"/>
  <c r="N37" i="1"/>
  <c r="M37" i="1"/>
  <c r="L35" i="1"/>
  <c r="J37" i="1"/>
  <c r="I37" i="1"/>
  <c r="H37" i="1"/>
  <c r="D38" i="1"/>
  <c r="V37" i="1" l="1"/>
  <c r="V38" i="1" s="1"/>
  <c r="U10" i="2" s="1"/>
  <c r="T41" i="1"/>
  <c r="T44" i="1"/>
  <c r="T47" i="1"/>
  <c r="T50" i="1"/>
  <c r="T53" i="1"/>
  <c r="T38" i="1"/>
  <c r="Q41" i="1"/>
  <c r="Q44" i="1"/>
  <c r="Q47" i="1"/>
  <c r="Q50" i="1"/>
  <c r="Q53" i="1"/>
  <c r="Q38" i="1"/>
  <c r="O41" i="1"/>
  <c r="O44" i="1"/>
  <c r="O47" i="1"/>
  <c r="O50" i="1"/>
  <c r="O53" i="1"/>
  <c r="O38" i="1"/>
  <c r="K41" i="1"/>
  <c r="K44" i="1"/>
  <c r="K47" i="1"/>
  <c r="K50" i="1"/>
  <c r="K53" i="1"/>
  <c r="K38" i="1"/>
  <c r="W15" i="1"/>
  <c r="W18" i="1"/>
  <c r="W21" i="1"/>
  <c r="W24" i="1"/>
  <c r="W27" i="1"/>
  <c r="W12" i="1"/>
  <c r="T15" i="1"/>
  <c r="T18" i="1"/>
  <c r="T21" i="1"/>
  <c r="T24" i="1"/>
  <c r="T27" i="1"/>
  <c r="T12" i="1"/>
  <c r="Q15" i="1"/>
  <c r="Q18" i="1"/>
  <c r="Q21" i="1"/>
  <c r="Q24" i="1"/>
  <c r="Q12" i="1"/>
  <c r="N18" i="1"/>
  <c r="N21" i="1"/>
  <c r="N24" i="1"/>
  <c r="N27" i="1"/>
  <c r="N15" i="1"/>
  <c r="T35" i="1" l="1"/>
  <c r="Q35" i="1"/>
  <c r="O35" i="1"/>
  <c r="K35" i="1"/>
  <c r="N12" i="1"/>
  <c r="W9" i="1"/>
  <c r="T9" i="1"/>
  <c r="Q9" i="1"/>
  <c r="N9" i="1"/>
  <c r="Q8" i="2" l="1"/>
  <c r="X15" i="1" l="1"/>
  <c r="Y15" i="1"/>
  <c r="X18" i="1"/>
  <c r="Y18" i="1"/>
  <c r="X21" i="1"/>
  <c r="Y21" i="1"/>
  <c r="X24" i="1"/>
  <c r="Y24" i="1"/>
  <c r="X27" i="1"/>
  <c r="Y27" i="1"/>
  <c r="P41" i="1" l="1"/>
  <c r="P44" i="1"/>
  <c r="AE16" i="1" s="1"/>
  <c r="P47" i="1"/>
  <c r="AF16" i="1" s="1"/>
  <c r="P50" i="1"/>
  <c r="AG16" i="1" s="1"/>
  <c r="P53" i="1"/>
  <c r="AH16" i="1" s="1"/>
  <c r="P38" i="1" l="1"/>
  <c r="P35" i="1"/>
  <c r="AB16" i="1" s="1"/>
  <c r="I34" i="1"/>
  <c r="I35" i="1" s="1"/>
  <c r="P8" i="2" s="1"/>
  <c r="R8" i="2" s="1"/>
  <c r="J34" i="1"/>
  <c r="M34" i="1"/>
  <c r="N34" i="1"/>
  <c r="R34" i="1"/>
  <c r="S34" i="1"/>
  <c r="V34" i="1"/>
  <c r="V35" i="1" s="1"/>
  <c r="U8" i="2" s="1"/>
  <c r="W34" i="1"/>
  <c r="H34" i="1"/>
  <c r="E41" i="1"/>
  <c r="D15" i="1"/>
  <c r="E15" i="1"/>
  <c r="F15" i="1"/>
  <c r="G15" i="1"/>
  <c r="D18" i="1"/>
  <c r="E18" i="1"/>
  <c r="F18" i="1"/>
  <c r="G18" i="1"/>
  <c r="D21" i="1"/>
  <c r="E21" i="1"/>
  <c r="F21" i="1"/>
  <c r="G21" i="1"/>
  <c r="D24" i="1"/>
  <c r="E24" i="1"/>
  <c r="F24" i="1"/>
  <c r="G24" i="1"/>
  <c r="D27" i="1"/>
  <c r="E27" i="1"/>
  <c r="F27" i="1"/>
  <c r="G27" i="1"/>
  <c r="Y12" i="1"/>
  <c r="X12" i="1"/>
  <c r="Y9" i="1"/>
  <c r="X9" i="1"/>
  <c r="E38" i="1"/>
  <c r="E35" i="1"/>
  <c r="D35" i="1"/>
  <c r="G35" i="1" l="1"/>
  <c r="F35" i="1"/>
  <c r="G38" i="1"/>
  <c r="F38" i="1"/>
  <c r="H41" i="1"/>
  <c r="I41" i="1"/>
  <c r="J41" i="1"/>
  <c r="M41" i="1"/>
  <c r="N41" i="1"/>
  <c r="R41" i="1"/>
  <c r="K12" i="2" s="1"/>
  <c r="S41" i="1"/>
  <c r="W41" i="1"/>
  <c r="K14" i="2"/>
  <c r="L14" i="2"/>
  <c r="W44" i="1"/>
  <c r="N47" i="1"/>
  <c r="K16" i="2"/>
  <c r="L16" i="2"/>
  <c r="W47" i="1"/>
  <c r="N50" i="1"/>
  <c r="K18" i="2"/>
  <c r="L18" i="2"/>
  <c r="W50" i="1"/>
  <c r="H53" i="1"/>
  <c r="N53" i="1"/>
  <c r="W53" i="1"/>
  <c r="H38" i="1"/>
  <c r="I38" i="1"/>
  <c r="J38" i="1"/>
  <c r="M38" i="1"/>
  <c r="N38" i="1"/>
  <c r="R38" i="1"/>
  <c r="S38" i="1"/>
  <c r="L10" i="2" s="1"/>
  <c r="W38" i="1"/>
  <c r="H35" i="1"/>
  <c r="J35" i="1"/>
  <c r="M35" i="1"/>
  <c r="AB15" i="1" s="1"/>
  <c r="N35" i="1"/>
  <c r="R35" i="1"/>
  <c r="S35" i="1"/>
  <c r="L8" i="2" s="1"/>
  <c r="W35" i="1"/>
  <c r="H17" i="1"/>
  <c r="I17" i="1"/>
  <c r="I18" i="1" s="1"/>
  <c r="J17" i="1"/>
  <c r="J18" i="1" s="1"/>
  <c r="K17" i="1"/>
  <c r="K18" i="1" s="1"/>
  <c r="C14" i="2" s="1"/>
  <c r="L17" i="1"/>
  <c r="L18" i="1" s="1"/>
  <c r="D14" i="2" s="1"/>
  <c r="M17" i="1"/>
  <c r="M18" i="1" s="1"/>
  <c r="O17" i="1"/>
  <c r="O18" i="1" s="1"/>
  <c r="P17" i="1"/>
  <c r="P18" i="1" s="1"/>
  <c r="R17" i="1"/>
  <c r="R18" i="1" s="1"/>
  <c r="S17" i="1"/>
  <c r="S18" i="1" s="1"/>
  <c r="U17" i="1"/>
  <c r="U18" i="1" s="1"/>
  <c r="V17" i="1"/>
  <c r="V18" i="1" s="1"/>
  <c r="H18" i="1"/>
  <c r="H20" i="1"/>
  <c r="I20" i="1"/>
  <c r="I21" i="1" s="1"/>
  <c r="J20" i="1"/>
  <c r="J21" i="1" s="1"/>
  <c r="K20" i="1"/>
  <c r="K21" i="1" s="1"/>
  <c r="C16" i="2" s="1"/>
  <c r="L20" i="1"/>
  <c r="L21" i="1" s="1"/>
  <c r="D16" i="2" s="1"/>
  <c r="M20" i="1"/>
  <c r="M21" i="1" s="1"/>
  <c r="O20" i="1"/>
  <c r="O21" i="1" s="1"/>
  <c r="P20" i="1"/>
  <c r="P21" i="1" s="1"/>
  <c r="R20" i="1"/>
  <c r="R21" i="1" s="1"/>
  <c r="S20" i="1"/>
  <c r="S21" i="1" s="1"/>
  <c r="U20" i="1"/>
  <c r="U21" i="1" s="1"/>
  <c r="V20" i="1"/>
  <c r="V21" i="1" s="1"/>
  <c r="H21" i="1"/>
  <c r="H23" i="1"/>
  <c r="H24" i="1" s="1"/>
  <c r="I23" i="1"/>
  <c r="I24" i="1" s="1"/>
  <c r="J23" i="1"/>
  <c r="J24" i="1" s="1"/>
  <c r="K23" i="1"/>
  <c r="K24" i="1" s="1"/>
  <c r="C18" i="2" s="1"/>
  <c r="L23" i="1"/>
  <c r="L24" i="1" s="1"/>
  <c r="M23" i="1"/>
  <c r="M24" i="1" s="1"/>
  <c r="O23" i="1"/>
  <c r="O24" i="1" s="1"/>
  <c r="P23" i="1"/>
  <c r="P24" i="1" s="1"/>
  <c r="R24" i="1"/>
  <c r="S24" i="1"/>
  <c r="U23" i="1"/>
  <c r="U24" i="1" s="1"/>
  <c r="V23" i="1"/>
  <c r="V24" i="1" s="1"/>
  <c r="H26" i="1"/>
  <c r="H27" i="1" s="1"/>
  <c r="I26" i="1"/>
  <c r="I27" i="1" s="1"/>
  <c r="J26" i="1"/>
  <c r="J27" i="1" s="1"/>
  <c r="K26" i="1"/>
  <c r="K27" i="1" s="1"/>
  <c r="C20" i="2" s="1"/>
  <c r="L26" i="1"/>
  <c r="L27" i="1" s="1"/>
  <c r="D20" i="2" s="1"/>
  <c r="M26" i="1"/>
  <c r="M27" i="1" s="1"/>
  <c r="O26" i="1"/>
  <c r="O27" i="1" s="1"/>
  <c r="P26" i="1"/>
  <c r="P27" i="1" s="1"/>
  <c r="R26" i="1"/>
  <c r="R27" i="1" s="1"/>
  <c r="S26" i="1"/>
  <c r="S27" i="1" s="1"/>
  <c r="U26" i="1"/>
  <c r="U27" i="1" s="1"/>
  <c r="V26" i="1"/>
  <c r="V27" i="1" s="1"/>
  <c r="Q27" i="1"/>
  <c r="I14" i="1"/>
  <c r="J14" i="1"/>
  <c r="K14" i="1"/>
  <c r="L14" i="1"/>
  <c r="M14" i="1"/>
  <c r="O14" i="1"/>
  <c r="P14" i="1"/>
  <c r="R14" i="1"/>
  <c r="R15" i="1" s="1"/>
  <c r="S14" i="1"/>
  <c r="S15" i="1" s="1"/>
  <c r="U14" i="1"/>
  <c r="V14" i="1"/>
  <c r="H14" i="1"/>
  <c r="H15" i="1" s="1"/>
  <c r="I15" i="1"/>
  <c r="J15" i="1"/>
  <c r="K15" i="1"/>
  <c r="C12" i="2" s="1"/>
  <c r="L15" i="1"/>
  <c r="D12" i="2" s="1"/>
  <c r="M15" i="1"/>
  <c r="O15" i="1"/>
  <c r="P15" i="1"/>
  <c r="U15" i="1"/>
  <c r="V15" i="1"/>
  <c r="I11" i="1"/>
  <c r="I12" i="1" s="1"/>
  <c r="J11" i="1"/>
  <c r="J12" i="1" s="1"/>
  <c r="K11" i="1"/>
  <c r="L11" i="1"/>
  <c r="M11" i="1"/>
  <c r="M12" i="1" s="1"/>
  <c r="O11" i="1"/>
  <c r="O12" i="1" s="1"/>
  <c r="AC12" i="1" s="1"/>
  <c r="P11" i="1"/>
  <c r="P12" i="1" s="1"/>
  <c r="R11" i="1"/>
  <c r="S11" i="1"/>
  <c r="U11" i="1"/>
  <c r="U12" i="1" s="1"/>
  <c r="AC14" i="1" s="1"/>
  <c r="V11" i="1"/>
  <c r="V12" i="1" s="1"/>
  <c r="H11" i="1"/>
  <c r="H12" i="1" s="1"/>
  <c r="I8" i="1"/>
  <c r="I9" i="1" s="1"/>
  <c r="J8" i="1"/>
  <c r="J9" i="1" s="1"/>
  <c r="K8" i="1"/>
  <c r="K9" i="1" s="1"/>
  <c r="C8" i="2" s="1"/>
  <c r="L8" i="1"/>
  <c r="L9" i="1" s="1"/>
  <c r="D8" i="2" s="1"/>
  <c r="M8" i="1"/>
  <c r="M9" i="1" s="1"/>
  <c r="O8" i="1"/>
  <c r="O9" i="1" s="1"/>
  <c r="AB12" i="1" s="1"/>
  <c r="P8" i="1"/>
  <c r="P9" i="1" s="1"/>
  <c r="W8" i="2" s="1"/>
  <c r="E8" i="2"/>
  <c r="R8" i="1"/>
  <c r="R9" i="1" s="1"/>
  <c r="S8" i="1"/>
  <c r="S9" i="1" s="1"/>
  <c r="U8" i="1"/>
  <c r="U9" i="1" s="1"/>
  <c r="V8" i="1"/>
  <c r="V9" i="1" s="1"/>
  <c r="E12" i="1"/>
  <c r="F12" i="1"/>
  <c r="G12" i="1"/>
  <c r="D12" i="1"/>
  <c r="H8" i="1"/>
  <c r="H9" i="1" s="1"/>
  <c r="F9" i="1"/>
  <c r="G9" i="1"/>
  <c r="E9" i="1"/>
  <c r="D9" i="1"/>
  <c r="B32" i="1"/>
  <c r="B36" i="1"/>
  <c r="B39" i="1"/>
  <c r="B42" i="1"/>
  <c r="B45" i="1"/>
  <c r="B48" i="1"/>
  <c r="B51" i="1"/>
  <c r="W20" i="2" l="1"/>
  <c r="E20" i="2"/>
  <c r="H20" i="2" s="1"/>
  <c r="H8" i="2"/>
  <c r="L12" i="2"/>
  <c r="AD16" i="1"/>
  <c r="AD17" i="1"/>
  <c r="AB14" i="1"/>
  <c r="AB13" i="1"/>
  <c r="AB11" i="1"/>
  <c r="AC11" i="1"/>
  <c r="AD14" i="1"/>
  <c r="AD13" i="1"/>
  <c r="AD12" i="1"/>
  <c r="AH12" i="1"/>
  <c r="AG14" i="1"/>
  <c r="AG13" i="1"/>
  <c r="AG12" i="1"/>
  <c r="AF14" i="1"/>
  <c r="AF13" i="1"/>
  <c r="AF12" i="1"/>
  <c r="AE14" i="1"/>
  <c r="AE13" i="1"/>
  <c r="AE12" i="1"/>
  <c r="K10" i="2"/>
  <c r="U38" i="1"/>
  <c r="AC15" i="1"/>
  <c r="P10" i="2"/>
  <c r="L38" i="1"/>
  <c r="Q10" i="2" s="1"/>
  <c r="AH15" i="1"/>
  <c r="L53" i="1"/>
  <c r="Q20" i="2" s="1"/>
  <c r="R20" i="2" s="1"/>
  <c r="M18" i="2"/>
  <c r="AG15" i="1"/>
  <c r="P18" i="2"/>
  <c r="L50" i="1"/>
  <c r="M16" i="2"/>
  <c r="AF15" i="1"/>
  <c r="P16" i="2"/>
  <c r="L47" i="1"/>
  <c r="AE15" i="1"/>
  <c r="P14" i="2"/>
  <c r="L44" i="1"/>
  <c r="M12" i="2"/>
  <c r="AD15" i="1"/>
  <c r="P12" i="2"/>
  <c r="L41" i="1"/>
  <c r="Q12" i="2" s="1"/>
  <c r="AD11" i="1"/>
  <c r="AH14" i="1"/>
  <c r="AH13" i="1"/>
  <c r="AH11" i="1"/>
  <c r="W18" i="2"/>
  <c r="H18" i="2"/>
  <c r="AG11" i="1"/>
  <c r="W16" i="2"/>
  <c r="H16" i="2"/>
  <c r="AF11" i="1"/>
  <c r="W14" i="2"/>
  <c r="E14" i="2"/>
  <c r="H14" i="2" s="1"/>
  <c r="AE11" i="1"/>
  <c r="U35" i="1"/>
  <c r="K8" i="2"/>
  <c r="M8" i="2" s="1"/>
  <c r="S12" i="1"/>
  <c r="M14" i="2"/>
  <c r="R12" i="1"/>
  <c r="AC13" i="1" s="1"/>
  <c r="W12" i="2"/>
  <c r="E12" i="2"/>
  <c r="H12" i="2" s="1"/>
  <c r="W10" i="2"/>
  <c r="E10" i="2"/>
  <c r="L12" i="1"/>
  <c r="D10" i="2" s="1"/>
  <c r="K12" i="1"/>
  <c r="C10" i="2" s="1"/>
  <c r="Y36" i="1"/>
  <c r="Y39" i="1"/>
  <c r="Y34" i="1"/>
  <c r="X39" i="1"/>
  <c r="X36" i="1"/>
  <c r="X51" i="1"/>
  <c r="X48" i="1"/>
  <c r="X45" i="1"/>
  <c r="X42" i="1"/>
  <c r="X34" i="1"/>
  <c r="Q16" i="2" l="1"/>
  <c r="R16" i="2" s="1"/>
  <c r="AF17" i="1"/>
  <c r="Q18" i="2"/>
  <c r="R18" i="2" s="1"/>
  <c r="AG17" i="1"/>
  <c r="AH17" i="1"/>
  <c r="Q14" i="2"/>
  <c r="R14" i="2" s="1"/>
  <c r="AE17" i="1"/>
  <c r="H10" i="2"/>
  <c r="R12" i="2"/>
  <c r="R10" i="2"/>
  <c r="M10" i="2"/>
  <c r="Y42" i="1"/>
  <c r="Y45" i="1" l="1"/>
  <c r="Y51" i="1" l="1"/>
  <c r="Y48" i="1"/>
</calcChain>
</file>

<file path=xl/sharedStrings.xml><?xml version="1.0" encoding="utf-8"?>
<sst xmlns="http://schemas.openxmlformats.org/spreadsheetml/2006/main" count="149" uniqueCount="92">
  <si>
    <t>Kotelna</t>
  </si>
  <si>
    <t>Janovský</t>
  </si>
  <si>
    <t>Honlův dům</t>
  </si>
  <si>
    <t>Albertova vila</t>
  </si>
  <si>
    <t>Malínský</t>
  </si>
  <si>
    <t>LDN</t>
  </si>
  <si>
    <t>Studená voda pro TUV            (m3)            /VM 2/</t>
  </si>
  <si>
    <t>Studená voda pro TUV            (m3)            /VM 4/</t>
  </si>
  <si>
    <t>Studená voda pro TUV            (m3)            /VM 5/</t>
  </si>
  <si>
    <t>Studená voda pro TUV            (m3)            /VM 7/</t>
  </si>
  <si>
    <t>Truhlárna</t>
  </si>
  <si>
    <t xml:space="preserve"> </t>
  </si>
  <si>
    <t>Datum odečtu</t>
  </si>
  <si>
    <t>Lékařská vila</t>
  </si>
  <si>
    <t>Stravovací provoz</t>
  </si>
  <si>
    <t>Prádelna</t>
  </si>
  <si>
    <t>Svobodárna</t>
  </si>
  <si>
    <t>Bufet</t>
  </si>
  <si>
    <r>
      <t>Studená voda pro TUV               (m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)                /VM 12b/</t>
    </r>
  </si>
  <si>
    <r>
      <t>Plynoměr      K1, K2, K3                    (m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)                       /PM 8/</t>
    </r>
  </si>
  <si>
    <r>
      <t>Studená voda pro TUV               (m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)                /VM 8/</t>
    </r>
  </si>
  <si>
    <t>Studená voda pro TUV celkem           (m3)            /VM 9/</t>
  </si>
  <si>
    <t>Studená voda pro TUV            (m3)            /VM 10/</t>
  </si>
  <si>
    <r>
      <t>Plynoměr      K1, K2, K3                    (m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)                       /PM 11/</t>
    </r>
  </si>
  <si>
    <t>Studená voda pro TUV            (m3)            /VM 11/</t>
  </si>
  <si>
    <r>
      <t>Plynoměr      K1, K2          (m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)                   /PM 12a/</t>
    </r>
  </si>
  <si>
    <r>
      <t>Plynoměr,               par. vyvíječ (m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)                     /PM 12b/</t>
    </r>
  </si>
  <si>
    <t>Voda do UT a KN         (m3)            /VM 12a/</t>
  </si>
  <si>
    <r>
      <t>Plynoměr      K1, K2, K3                    (m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 xml:space="preserve">)                       </t>
    </r>
  </si>
  <si>
    <t>Energie UT garáže         (MWh)                       /MT 13b/</t>
  </si>
  <si>
    <t>Pro rok</t>
  </si>
  <si>
    <r>
      <t>m</t>
    </r>
    <r>
      <rPr>
        <vertAlign val="superscript"/>
        <sz val="12"/>
        <color theme="1"/>
        <rFont val="Calibri"/>
        <family val="2"/>
        <charset val="238"/>
        <scheme val="minor"/>
      </rPr>
      <t>3</t>
    </r>
  </si>
  <si>
    <t>jednotka</t>
  </si>
  <si>
    <t>Odečty a přepočty spotřeby zemního plynu a vody</t>
  </si>
  <si>
    <t>Kontrolní součet  - kotelna</t>
  </si>
  <si>
    <r>
      <t xml:space="preserve">Údržba                   </t>
    </r>
    <r>
      <rPr>
        <b/>
        <sz val="12"/>
        <color theme="1"/>
        <rFont val="Calibri"/>
        <family val="2"/>
        <charset val="238"/>
        <scheme val="minor"/>
      </rPr>
      <t xml:space="preserve"> - samostatný MO</t>
    </r>
  </si>
  <si>
    <r>
      <t>Celkem     za rok            m</t>
    </r>
    <r>
      <rPr>
        <b/>
        <vertAlign val="superscript"/>
        <sz val="12"/>
        <color theme="1"/>
        <rFont val="Calibri"/>
        <family val="2"/>
        <charset val="238"/>
        <scheme val="minor"/>
      </rPr>
      <t>3</t>
    </r>
  </si>
  <si>
    <t>Energie UT   (MJ)                 /MT 1a/</t>
  </si>
  <si>
    <t>Energie UT  Honlův dům jih                          (MJ)                    /MT 2b/</t>
  </si>
  <si>
    <t>Energie UT  Honlův dům sever                (MJ)                  /MT 2a/</t>
  </si>
  <si>
    <t>Energie UT  Laboratoře sever  (MJ) /MT 2c/</t>
  </si>
  <si>
    <t>Energie UT  Laboratoře jih                  (MJ)               /MT 2d/</t>
  </si>
  <si>
    <t>Energie TUV  (MJ)                /MT 2e/</t>
  </si>
  <si>
    <t>Energie UT celkem       (MJ)                  /MT 4a/</t>
  </si>
  <si>
    <t>Energie TUV                      (MJ)                           /MT 4e/</t>
  </si>
  <si>
    <t>Energie UT               (MJ)                      /MT 5a/</t>
  </si>
  <si>
    <t>Energie TUV  (MJ)                  /MT 5e/</t>
  </si>
  <si>
    <t>Energie UT celkem                    (MJ)                            /MT 7a/</t>
  </si>
  <si>
    <t>Energie TUV  (MJ)                   /MT 7e/</t>
  </si>
  <si>
    <t>Energie UT  celkem (MJ) /MT 9a/</t>
  </si>
  <si>
    <t>Energie UT  pro byty v podkroví           (MJ)                 /MT 9c/</t>
  </si>
  <si>
    <t>Energie TUV          (MJ)                      /MT 9b/</t>
  </si>
  <si>
    <t>Energie UT                (MJ)              /MT 10a/</t>
  </si>
  <si>
    <t>Energie TUV             (MJ)                    /MT 10e/</t>
  </si>
  <si>
    <t>Energie UT celkem                  (MJ)                 /MT 13a/</t>
  </si>
  <si>
    <t>Energie UT celkem            (MJ)                       /MT …./</t>
  </si>
  <si>
    <t>odečty</t>
  </si>
  <si>
    <t>odč.</t>
  </si>
  <si>
    <t>MJ</t>
  </si>
  <si>
    <t>Laboratoř - spotřeba plynu</t>
  </si>
  <si>
    <t>Energie UT  Laboratoře jih  (MJ)  /MT 2d/</t>
  </si>
  <si>
    <r>
      <t>Celkem spotřeba v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</si>
  <si>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Svobodárna č.p. 223 - spotřeba plynu</t>
  </si>
  <si>
    <t>Byty č.p. 670 - spotřeba plynu</t>
  </si>
  <si>
    <t>Energie UT celkem (MJ) /MT 13a/</t>
  </si>
  <si>
    <t>Bufet, knihovna - Neratov</t>
  </si>
  <si>
    <t>Energie UT celkem (MJ) /MT …./</t>
  </si>
  <si>
    <t>Energie UT  pro byty v podkroví (MJ) /MT 9c/</t>
  </si>
  <si>
    <t>Teplá voda pro TUV  byty (m3) /VM …./</t>
  </si>
  <si>
    <r>
      <rPr>
        <sz val="10"/>
        <color theme="1"/>
        <rFont val="Calibri"/>
        <family val="2"/>
        <charset val="238"/>
        <scheme val="minor"/>
      </rPr>
      <t xml:space="preserve">Dopočítaná hodnota - Albertova vila Energie TUV (MJ)  /MT 4e/ </t>
    </r>
    <r>
      <rPr>
        <sz val="11"/>
        <color theme="1"/>
        <rFont val="Calibri"/>
        <family val="2"/>
        <charset val="238"/>
        <scheme val="minor"/>
      </rPr>
      <t xml:space="preserve">= </t>
    </r>
    <r>
      <rPr>
        <b/>
        <sz val="12"/>
        <color theme="1"/>
        <rFont val="Calibri"/>
        <family val="2"/>
        <charset val="238"/>
        <scheme val="minor"/>
      </rPr>
      <t>ohřev vody</t>
    </r>
  </si>
  <si>
    <t xml:space="preserve">Studená voda pro TUV            (m3)      neměří se     </t>
  </si>
  <si>
    <t>Studená voda pro TUV            (m3)            /VM 5/ odhad</t>
  </si>
  <si>
    <t>Energie TUV                      (MJ)                         /MT …./ rozpočítáno</t>
  </si>
  <si>
    <t>Energie UT celkem                   (MJ)                   /MT  .../ rozpočítáno</t>
  </si>
  <si>
    <t>Teplá voda pro TUV  byty          (m3)            /VM …./ odhad</t>
  </si>
  <si>
    <t>Energie UT garáže         (MJ)                       /MT 13b/</t>
  </si>
  <si>
    <t>Energie TUV              (MJ)                       (m3)                          /MT …./  odhad</t>
  </si>
  <si>
    <r>
      <t xml:space="preserve">Energie TUV  (MJ)                   /MT …../  </t>
    </r>
    <r>
      <rPr>
        <sz val="9"/>
        <color theme="1"/>
        <rFont val="Calibri"/>
        <family val="2"/>
        <charset val="238"/>
        <scheme val="minor"/>
      </rPr>
      <t xml:space="preserve"> neodečítáno</t>
    </r>
  </si>
  <si>
    <t>Teplá voda pro TUV bufet, knihovna                                     (m3 plynu)                               koeficient výpočtu dle měřeného údaje pro laboratoř</t>
  </si>
  <si>
    <t xml:space="preserve">Odečet teplé vody m3 </t>
  </si>
  <si>
    <r>
      <t>Propočet            (m</t>
    </r>
    <r>
      <rPr>
        <vertAlign val="superscript"/>
        <sz val="10"/>
        <color theme="1"/>
        <rFont val="Calibri"/>
        <family val="2"/>
        <charset val="238"/>
        <scheme val="minor"/>
      </rPr>
      <t xml:space="preserve">3 </t>
    </r>
    <r>
      <rPr>
        <sz val="10"/>
        <color theme="1"/>
        <rFont val="Calibri"/>
        <family val="2"/>
        <charset val="238"/>
        <scheme val="minor"/>
      </rPr>
      <t>plynu)</t>
    </r>
  </si>
  <si>
    <t>= upravený údaj pro nesouhlas odečtů měřících přístrojů na počátku měřeného období - způsobeno výpadky el. energie odečtových prvků (čidel)</t>
  </si>
  <si>
    <t>HD</t>
  </si>
  <si>
    <t>Alb. Vila</t>
  </si>
  <si>
    <t>rok</t>
  </si>
  <si>
    <r>
      <t>Pomocné výpočty pro stanovení podílů provozů m</t>
    </r>
    <r>
      <rPr>
        <b/>
        <vertAlign val="superscript"/>
        <sz val="12"/>
        <color theme="1"/>
        <rFont val="Calibri"/>
        <family val="2"/>
        <charset val="238"/>
        <scheme val="minor"/>
      </rPr>
      <t>3</t>
    </r>
    <r>
      <rPr>
        <b/>
        <sz val="12"/>
        <color theme="1"/>
        <rFont val="Calibri"/>
        <family val="2"/>
        <charset val="238"/>
        <scheme val="minor"/>
      </rPr>
      <t xml:space="preserve"> plynu</t>
    </r>
  </si>
  <si>
    <t>Údržba</t>
  </si>
  <si>
    <t>Kuchyně</t>
  </si>
  <si>
    <t>neadekvátní hodnoty, poruchy měřidel HD, Malínský a prádelna</t>
  </si>
  <si>
    <t>Spotřeba vody dle vodoměru podle počtu zaměst. osob</t>
  </si>
  <si>
    <t>Spotřeba teplé vody dle odečtu vodoměru (l)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</si>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</sst>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E1A01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4AF4E0"/>
        <bgColor indexed="64"/>
      </patternFill>
    </fill>
  </fills>
  <borders count="6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/>
    <xf numFmtId="0" fontId="3" fillId="2" borderId="7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wrapText="1"/>
    </xf>
    <xf numFmtId="0" fontId="7" fillId="2" borderId="2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0" fillId="0" borderId="10" xfId="0" applyNumberFormat="1" applyBorder="1"/>
    <xf numFmtId="4" fontId="0" fillId="0" borderId="11" xfId="0" applyNumberFormat="1" applyBorder="1"/>
    <xf numFmtId="0" fontId="2" fillId="0" borderId="10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4" fontId="0" fillId="7" borderId="9" xfId="0" applyNumberFormat="1" applyFill="1" applyBorder="1"/>
    <xf numFmtId="4" fontId="0" fillId="7" borderId="5" xfId="0" applyNumberFormat="1" applyFill="1" applyBorder="1"/>
    <xf numFmtId="4" fontId="0" fillId="6" borderId="9" xfId="0" applyNumberFormat="1" applyFill="1" applyBorder="1"/>
    <xf numFmtId="4" fontId="0" fillId="6" borderId="10" xfId="0" applyNumberFormat="1" applyFill="1" applyBorder="1"/>
    <xf numFmtId="4" fontId="0" fillId="6" borderId="5" xfId="0" applyNumberFormat="1" applyFill="1" applyBorder="1"/>
    <xf numFmtId="4" fontId="0" fillId="5" borderId="9" xfId="0" applyNumberFormat="1" applyFill="1" applyBorder="1"/>
    <xf numFmtId="4" fontId="0" fillId="5" borderId="10" xfId="0" applyNumberFormat="1" applyFill="1" applyBorder="1"/>
    <xf numFmtId="4" fontId="0" fillId="5" borderId="5" xfId="0" applyNumberFormat="1" applyFill="1" applyBorder="1"/>
    <xf numFmtId="0" fontId="2" fillId="0" borderId="28" xfId="0" applyFont="1" applyBorder="1" applyAlignment="1">
      <alignment horizontal="center" vertical="center"/>
    </xf>
    <xf numFmtId="4" fontId="0" fillId="6" borderId="14" xfId="0" applyNumberFormat="1" applyFill="1" applyBorder="1" applyAlignment="1">
      <alignment horizontal="right" vertical="center"/>
    </xf>
    <xf numFmtId="4" fontId="0" fillId="6" borderId="5" xfId="0" applyNumberFormat="1" applyFill="1" applyBorder="1" applyAlignment="1">
      <alignment horizontal="right"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32" xfId="0" applyFont="1" applyFill="1" applyBorder="1" applyAlignment="1">
      <alignment horizontal="center" vertical="center" wrapText="1"/>
    </xf>
    <xf numFmtId="3" fontId="0" fillId="6" borderId="28" xfId="0" applyNumberFormat="1" applyFont="1" applyFill="1" applyBorder="1" applyAlignment="1">
      <alignment horizontal="right" vertical="center"/>
    </xf>
    <xf numFmtId="3" fontId="0" fillId="8" borderId="28" xfId="0" applyNumberFormat="1" applyFont="1" applyFill="1" applyBorder="1" applyAlignment="1">
      <alignment horizontal="right" vertical="center"/>
    </xf>
    <xf numFmtId="4" fontId="0" fillId="6" borderId="14" xfId="0" applyNumberFormat="1" applyFont="1" applyFill="1" applyBorder="1" applyAlignment="1">
      <alignment horizontal="right" vertical="center"/>
    </xf>
    <xf numFmtId="1" fontId="0" fillId="6" borderId="14" xfId="0" applyNumberFormat="1" applyFont="1" applyFill="1" applyBorder="1" applyAlignment="1">
      <alignment horizontal="right" vertical="center"/>
    </xf>
    <xf numFmtId="1" fontId="0" fillId="4" borderId="14" xfId="0" applyNumberFormat="1" applyFont="1" applyFill="1" applyBorder="1" applyAlignment="1">
      <alignment horizontal="right" vertical="center"/>
    </xf>
    <xf numFmtId="1" fontId="0" fillId="0" borderId="14" xfId="0" applyNumberFormat="1" applyFont="1" applyFill="1" applyBorder="1" applyAlignment="1">
      <alignment horizontal="right" vertical="center"/>
    </xf>
    <xf numFmtId="1" fontId="0" fillId="6" borderId="5" xfId="0" applyNumberFormat="1" applyFont="1" applyFill="1" applyBorder="1" applyAlignment="1">
      <alignment horizontal="right" vertical="center"/>
    </xf>
    <xf numFmtId="1" fontId="0" fillId="4" borderId="5" xfId="0" applyNumberFormat="1" applyFont="1" applyFill="1" applyBorder="1" applyAlignment="1">
      <alignment horizontal="right" vertical="center"/>
    </xf>
    <xf numFmtId="4" fontId="0" fillId="5" borderId="14" xfId="0" applyNumberFormat="1" applyFont="1" applyFill="1" applyBorder="1" applyAlignment="1">
      <alignment horizontal="right" vertical="center"/>
    </xf>
    <xf numFmtId="3" fontId="0" fillId="6" borderId="10" xfId="0" applyNumberFormat="1" applyFill="1" applyBorder="1" applyAlignment="1">
      <alignment horizontal="right" vertical="center"/>
    </xf>
    <xf numFmtId="3" fontId="0" fillId="9" borderId="2" xfId="0" applyNumberFormat="1" applyFont="1" applyFill="1" applyBorder="1" applyAlignment="1">
      <alignment horizontal="right" vertical="center" wrapText="1"/>
    </xf>
    <xf numFmtId="3" fontId="0" fillId="9" borderId="3" xfId="0" applyNumberFormat="1" applyFont="1" applyFill="1" applyBorder="1" applyAlignment="1">
      <alignment horizontal="right" vertical="center" wrapText="1"/>
    </xf>
    <xf numFmtId="3" fontId="0" fillId="9" borderId="28" xfId="0" applyNumberFormat="1" applyFont="1" applyFill="1" applyBorder="1" applyAlignment="1">
      <alignment horizontal="right" vertical="center" wrapText="1"/>
    </xf>
    <xf numFmtId="3" fontId="0" fillId="9" borderId="29" xfId="0" applyNumberFormat="1" applyFont="1" applyFill="1" applyBorder="1" applyAlignment="1">
      <alignment horizontal="right" vertical="center" wrapText="1"/>
    </xf>
    <xf numFmtId="1" fontId="0" fillId="9" borderId="12" xfId="0" applyNumberFormat="1" applyFont="1" applyFill="1" applyBorder="1"/>
    <xf numFmtId="3" fontId="0" fillId="9" borderId="12" xfId="0" applyNumberFormat="1" applyFill="1" applyBorder="1"/>
    <xf numFmtId="0" fontId="5" fillId="9" borderId="12" xfId="0" applyFont="1" applyFill="1" applyBorder="1" applyAlignment="1">
      <alignment horizontal="center" vertical="center" wrapText="1"/>
    </xf>
    <xf numFmtId="3" fontId="5" fillId="9" borderId="12" xfId="0" applyNumberFormat="1" applyFont="1" applyFill="1" applyBorder="1"/>
    <xf numFmtId="4" fontId="0" fillId="0" borderId="9" xfId="0" applyNumberFormat="1" applyFill="1" applyBorder="1"/>
    <xf numFmtId="4" fontId="0" fillId="0" borderId="15" xfId="0" applyNumberFormat="1" applyFont="1" applyFill="1" applyBorder="1" applyAlignment="1">
      <alignment horizontal="right" vertical="center"/>
    </xf>
    <xf numFmtId="3" fontId="5" fillId="9" borderId="13" xfId="0" applyNumberFormat="1" applyFont="1" applyFill="1" applyBorder="1"/>
    <xf numFmtId="4" fontId="11" fillId="0" borderId="15" xfId="0" applyNumberFormat="1" applyFont="1" applyFill="1" applyBorder="1" applyAlignment="1">
      <alignment horizontal="right" vertical="center"/>
    </xf>
    <xf numFmtId="1" fontId="0" fillId="0" borderId="5" xfId="0" applyNumberFormat="1" applyFont="1" applyFill="1" applyBorder="1" applyAlignment="1">
      <alignment horizontal="right" vertical="center"/>
    </xf>
    <xf numFmtId="4" fontId="0" fillId="0" borderId="5" xfId="0" applyNumberFormat="1" applyFill="1" applyBorder="1" applyAlignment="1">
      <alignment horizontal="right" vertical="center"/>
    </xf>
    <xf numFmtId="4" fontId="0" fillId="0" borderId="5" xfId="0" applyNumberFormat="1" applyFill="1" applyBorder="1"/>
    <xf numFmtId="0" fontId="5" fillId="9" borderId="2" xfId="0" applyFont="1" applyFill="1" applyBorder="1" applyAlignment="1">
      <alignment horizontal="right" vertical="center" wrapText="1"/>
    </xf>
    <xf numFmtId="3" fontId="5" fillId="9" borderId="2" xfId="0" applyNumberFormat="1" applyFont="1" applyFill="1" applyBorder="1" applyAlignment="1">
      <alignment horizontal="right" vertical="center" wrapText="1"/>
    </xf>
    <xf numFmtId="3" fontId="5" fillId="9" borderId="30" xfId="0" applyNumberFormat="1" applyFont="1" applyFill="1" applyBorder="1" applyAlignment="1">
      <alignment horizontal="right" vertical="center" wrapText="1"/>
    </xf>
    <xf numFmtId="3" fontId="5" fillId="9" borderId="28" xfId="0" applyNumberFormat="1" applyFont="1" applyFill="1" applyBorder="1" applyAlignment="1">
      <alignment horizontal="right" vertical="center" wrapText="1"/>
    </xf>
    <xf numFmtId="3" fontId="5" fillId="9" borderId="31" xfId="0" applyNumberFormat="1" applyFont="1" applyFill="1" applyBorder="1" applyAlignment="1">
      <alignment horizontal="right" vertical="center" wrapText="1"/>
    </xf>
    <xf numFmtId="1" fontId="0" fillId="9" borderId="2" xfId="0" applyNumberFormat="1" applyFont="1" applyFill="1" applyBorder="1" applyAlignment="1">
      <alignment horizontal="right" vertical="center" wrapText="1"/>
    </xf>
    <xf numFmtId="1" fontId="0" fillId="9" borderId="28" xfId="0" applyNumberFormat="1" applyFont="1" applyFill="1" applyBorder="1" applyAlignment="1">
      <alignment horizontal="right" vertical="center" wrapText="1"/>
    </xf>
    <xf numFmtId="164" fontId="0" fillId="9" borderId="2" xfId="0" applyNumberFormat="1" applyFont="1" applyFill="1" applyBorder="1" applyAlignment="1">
      <alignment horizontal="right" vertical="center" wrapText="1"/>
    </xf>
    <xf numFmtId="164" fontId="0" fillId="9" borderId="28" xfId="0" applyNumberFormat="1" applyFont="1" applyFill="1" applyBorder="1" applyAlignment="1">
      <alignment horizontal="right" vertical="center" wrapText="1"/>
    </xf>
    <xf numFmtId="164" fontId="0" fillId="0" borderId="14" xfId="0" applyNumberFormat="1" applyFont="1" applyFill="1" applyBorder="1" applyAlignment="1">
      <alignment horizontal="right" vertical="center"/>
    </xf>
    <xf numFmtId="164" fontId="0" fillId="9" borderId="12" xfId="0" applyNumberFormat="1" applyFont="1" applyFill="1" applyBorder="1"/>
    <xf numFmtId="164" fontId="0" fillId="0" borderId="5" xfId="0" applyNumberFormat="1" applyFont="1" applyFill="1" applyBorder="1" applyAlignment="1">
      <alignment horizontal="right" vertical="center"/>
    </xf>
    <xf numFmtId="3" fontId="0" fillId="10" borderId="28" xfId="0" applyNumberFormat="1" applyFont="1" applyFill="1" applyBorder="1" applyAlignment="1">
      <alignment horizontal="right" vertical="center"/>
    </xf>
    <xf numFmtId="4" fontId="0" fillId="10" borderId="14" xfId="0" applyNumberFormat="1" applyFont="1" applyFill="1" applyBorder="1" applyAlignment="1">
      <alignment horizontal="right" vertical="center"/>
    </xf>
    <xf numFmtId="4" fontId="0" fillId="8" borderId="10" xfId="0" applyNumberFormat="1" applyFill="1" applyBorder="1"/>
    <xf numFmtId="4" fontId="0" fillId="8" borderId="10" xfId="0" applyNumberFormat="1" applyFill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" fontId="0" fillId="8" borderId="28" xfId="0" applyNumberFormat="1" applyFont="1" applyFill="1" applyBorder="1" applyAlignment="1">
      <alignment horizontal="right" vertical="center"/>
    </xf>
    <xf numFmtId="164" fontId="0" fillId="8" borderId="28" xfId="0" applyNumberFormat="1" applyFont="1" applyFill="1" applyBorder="1" applyAlignment="1">
      <alignment horizontal="right" vertical="center"/>
    </xf>
    <xf numFmtId="1" fontId="0" fillId="8" borderId="10" xfId="0" applyNumberFormat="1" applyFont="1" applyFill="1" applyBorder="1" applyAlignment="1">
      <alignment horizontal="right" vertical="center"/>
    </xf>
    <xf numFmtId="164" fontId="0" fillId="8" borderId="10" xfId="0" applyNumberFormat="1" applyFont="1" applyFill="1" applyBorder="1" applyAlignment="1">
      <alignment horizontal="right" vertical="center"/>
    </xf>
    <xf numFmtId="3" fontId="0" fillId="8" borderId="29" xfId="0" applyNumberFormat="1" applyFont="1" applyFill="1" applyBorder="1" applyAlignment="1">
      <alignment horizontal="right" vertical="center"/>
    </xf>
    <xf numFmtId="4" fontId="11" fillId="8" borderId="10" xfId="0" applyNumberFormat="1" applyFont="1" applyFill="1" applyBorder="1" applyAlignment="1">
      <alignment horizontal="right" vertical="center"/>
    </xf>
    <xf numFmtId="4" fontId="11" fillId="8" borderId="11" xfId="0" applyNumberFormat="1" applyFont="1" applyFill="1" applyBorder="1" applyAlignment="1">
      <alignment horizontal="right" vertical="center"/>
    </xf>
    <xf numFmtId="0" fontId="0" fillId="0" borderId="33" xfId="0" applyBorder="1"/>
    <xf numFmtId="0" fontId="5" fillId="6" borderId="34" xfId="0" applyFont="1" applyFill="1" applyBorder="1" applyAlignment="1">
      <alignment horizontal="center" vertical="center" wrapText="1"/>
    </xf>
    <xf numFmtId="0" fontId="0" fillId="6" borderId="34" xfId="0" applyFill="1" applyBorder="1" applyAlignment="1">
      <alignment wrapText="1"/>
    </xf>
    <xf numFmtId="0" fontId="0" fillId="0" borderId="35" xfId="0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6" borderId="35" xfId="0" applyFont="1" applyFill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3" fontId="0" fillId="0" borderId="14" xfId="0" applyNumberFormat="1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center" vertical="center" wrapText="1"/>
    </xf>
    <xf numFmtId="3" fontId="0" fillId="0" borderId="9" xfId="0" applyNumberFormat="1" applyFill="1" applyBorder="1"/>
    <xf numFmtId="3" fontId="0" fillId="0" borderId="5" xfId="0" applyNumberFormat="1" applyFont="1" applyFill="1" applyBorder="1" applyAlignment="1">
      <alignment horizontal="right" vertical="center"/>
    </xf>
    <xf numFmtId="4" fontId="11" fillId="0" borderId="6" xfId="0" applyNumberFormat="1" applyFont="1" applyFill="1" applyBorder="1" applyAlignment="1">
      <alignment horizontal="right" vertical="center"/>
    </xf>
    <xf numFmtId="1" fontId="0" fillId="8" borderId="10" xfId="0" applyNumberFormat="1" applyFill="1" applyBorder="1"/>
    <xf numFmtId="1" fontId="0" fillId="8" borderId="10" xfId="0" applyNumberFormat="1" applyFill="1" applyBorder="1" applyAlignment="1">
      <alignment horizontal="right"/>
    </xf>
    <xf numFmtId="1" fontId="0" fillId="6" borderId="10" xfId="0" applyNumberFormat="1" applyFill="1" applyBorder="1" applyAlignment="1">
      <alignment horizontal="right"/>
    </xf>
    <xf numFmtId="1" fontId="0" fillId="0" borderId="10" xfId="0" applyNumberFormat="1" applyFill="1" applyBorder="1" applyAlignment="1">
      <alignment horizontal="right"/>
    </xf>
    <xf numFmtId="1" fontId="0" fillId="5" borderId="10" xfId="0" applyNumberFormat="1" applyFill="1" applyBorder="1" applyAlignment="1">
      <alignment horizontal="right"/>
    </xf>
    <xf numFmtId="1" fontId="0" fillId="9" borderId="12" xfId="0" applyNumberFormat="1" applyFill="1" applyBorder="1"/>
    <xf numFmtId="1" fontId="0" fillId="9" borderId="13" xfId="0" applyNumberFormat="1" applyFill="1" applyBorder="1"/>
    <xf numFmtId="3" fontId="0" fillId="0" borderId="5" xfId="0" applyNumberFormat="1" applyFill="1" applyBorder="1"/>
    <xf numFmtId="4" fontId="0" fillId="0" borderId="6" xfId="0" applyNumberFormat="1" applyFill="1" applyBorder="1"/>
    <xf numFmtId="1" fontId="5" fillId="9" borderId="12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0" fillId="8" borderId="50" xfId="0" applyFill="1" applyBorder="1"/>
    <xf numFmtId="0" fontId="5" fillId="8" borderId="51" xfId="0" applyFont="1" applyFill="1" applyBorder="1" applyAlignment="1">
      <alignment horizontal="center" vertical="center" wrapText="1"/>
    </xf>
    <xf numFmtId="0" fontId="0" fillId="8" borderId="51" xfId="0" applyFill="1" applyBorder="1" applyAlignment="1">
      <alignment wrapText="1"/>
    </xf>
    <xf numFmtId="0" fontId="0" fillId="8" borderId="52" xfId="0" applyFill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0" fillId="8" borderId="54" xfId="0" applyFill="1" applyBorder="1"/>
    <xf numFmtId="0" fontId="5" fillId="8" borderId="55" xfId="0" applyFont="1" applyFill="1" applyBorder="1" applyAlignment="1">
      <alignment horizontal="center" vertical="center" wrapText="1"/>
    </xf>
    <xf numFmtId="0" fontId="0" fillId="8" borderId="56" xfId="0" applyFill="1" applyBorder="1" applyAlignment="1">
      <alignment horizontal="center" vertical="center" wrapText="1"/>
    </xf>
    <xf numFmtId="0" fontId="5" fillId="8" borderId="57" xfId="0" applyFont="1" applyFill="1" applyBorder="1" applyAlignment="1">
      <alignment horizontal="center" vertical="center" wrapText="1"/>
    </xf>
    <xf numFmtId="0" fontId="5" fillId="8" borderId="58" xfId="0" applyFont="1" applyFill="1" applyBorder="1" applyAlignment="1">
      <alignment horizontal="center" vertical="center" wrapText="1"/>
    </xf>
    <xf numFmtId="0" fontId="5" fillId="8" borderId="56" xfId="0" applyFont="1" applyFill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4" fontId="5" fillId="0" borderId="10" xfId="0" applyNumberFormat="1" applyFont="1" applyBorder="1"/>
    <xf numFmtId="1" fontId="0" fillId="12" borderId="28" xfId="0" applyNumberFormat="1" applyFont="1" applyFill="1" applyBorder="1" applyAlignment="1">
      <alignment horizontal="right" vertical="center" wrapText="1"/>
    </xf>
    <xf numFmtId="0" fontId="9" fillId="12" borderId="0" xfId="0" applyFont="1" applyFill="1" applyAlignment="1">
      <alignment horizontal="center" vertical="center"/>
    </xf>
    <xf numFmtId="0" fontId="0" fillId="0" borderId="0" xfId="0" applyFill="1"/>
    <xf numFmtId="3" fontId="0" fillId="12" borderId="28" xfId="0" applyNumberFormat="1" applyFont="1" applyFill="1" applyBorder="1" applyAlignment="1">
      <alignment horizontal="right" vertical="center" wrapText="1"/>
    </xf>
    <xf numFmtId="1" fontId="0" fillId="12" borderId="14" xfId="0" applyNumberFormat="1" applyFont="1" applyFill="1" applyBorder="1" applyAlignment="1">
      <alignment horizontal="right" vertical="center"/>
    </xf>
    <xf numFmtId="3" fontId="0" fillId="12" borderId="14" xfId="0" applyNumberFormat="1" applyFont="1" applyFill="1" applyBorder="1" applyAlignment="1">
      <alignment horizontal="right" vertical="center"/>
    </xf>
    <xf numFmtId="3" fontId="5" fillId="12" borderId="28" xfId="0" applyNumberFormat="1" applyFont="1" applyFill="1" applyBorder="1" applyAlignment="1">
      <alignment horizontal="right" vertical="center" wrapText="1"/>
    </xf>
    <xf numFmtId="4" fontId="0" fillId="12" borderId="9" xfId="0" applyNumberFormat="1" applyFill="1" applyBorder="1"/>
    <xf numFmtId="4" fontId="15" fillId="6" borderId="10" xfId="0" applyNumberFormat="1" applyFont="1" applyFill="1" applyBorder="1" applyAlignment="1">
      <alignment horizontal="right" vertical="center"/>
    </xf>
    <xf numFmtId="4" fontId="0" fillId="6" borderId="10" xfId="0" applyNumberFormat="1" applyFont="1" applyFill="1" applyBorder="1" applyAlignment="1">
      <alignment horizontal="right" vertical="center"/>
    </xf>
    <xf numFmtId="3" fontId="0" fillId="6" borderId="10" xfId="0" applyNumberFormat="1" applyFill="1" applyBorder="1" applyAlignment="1">
      <alignment horizontal="right"/>
    </xf>
    <xf numFmtId="4" fontId="0" fillId="6" borderId="9" xfId="0" applyNumberFormat="1" applyFont="1" applyFill="1" applyBorder="1"/>
    <xf numFmtId="0" fontId="5" fillId="5" borderId="3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horizontal="center" vertical="center" wrapText="1"/>
    </xf>
    <xf numFmtId="0" fontId="0" fillId="0" borderId="28" xfId="0" applyBorder="1"/>
    <xf numFmtId="4" fontId="0" fillId="0" borderId="28" xfId="0" applyNumberFormat="1" applyBorder="1"/>
    <xf numFmtId="4" fontId="5" fillId="5" borderId="14" xfId="0" applyNumberFormat="1" applyFont="1" applyFill="1" applyBorder="1" applyAlignment="1">
      <alignment horizontal="right" vertical="center"/>
    </xf>
    <xf numFmtId="4" fontId="5" fillId="5" borderId="5" xfId="0" applyNumberFormat="1" applyFont="1" applyFill="1" applyBorder="1" applyAlignment="1">
      <alignment horizontal="right" vertical="center"/>
    </xf>
    <xf numFmtId="0" fontId="0" fillId="0" borderId="28" xfId="0" applyFill="1" applyBorder="1"/>
    <xf numFmtId="3" fontId="5" fillId="13" borderId="12" xfId="0" applyNumberFormat="1" applyFont="1" applyFill="1" applyBorder="1"/>
    <xf numFmtId="1" fontId="0" fillId="13" borderId="12" xfId="0" applyNumberFormat="1" applyFont="1" applyFill="1" applyBorder="1"/>
    <xf numFmtId="4" fontId="0" fillId="0" borderId="10" xfId="0" applyNumberFormat="1" applyFill="1" applyBorder="1"/>
    <xf numFmtId="1" fontId="0" fillId="9" borderId="12" xfId="0" applyNumberFormat="1" applyFill="1" applyBorder="1" applyAlignment="1">
      <alignment horizontal="right" vertical="center"/>
    </xf>
    <xf numFmtId="3" fontId="0" fillId="13" borderId="12" xfId="0" applyNumberFormat="1" applyFill="1" applyBorder="1"/>
    <xf numFmtId="3" fontId="5" fillId="9" borderId="12" xfId="0" applyNumberFormat="1" applyFont="1" applyFill="1" applyBorder="1" applyAlignment="1">
      <alignment horizontal="right" vertical="center" wrapText="1"/>
    </xf>
    <xf numFmtId="3" fontId="0" fillId="9" borderId="12" xfId="0" applyNumberFormat="1" applyFill="1" applyBorder="1" applyAlignment="1">
      <alignment horizontal="right" vertical="center"/>
    </xf>
    <xf numFmtId="4" fontId="15" fillId="0" borderId="10" xfId="0" applyNumberFormat="1" applyFont="1" applyFill="1" applyBorder="1"/>
    <xf numFmtId="4" fontId="0" fillId="13" borderId="14" xfId="0" applyNumberFormat="1" applyFill="1" applyBorder="1" applyAlignment="1">
      <alignment horizontal="right" vertical="center"/>
    </xf>
    <xf numFmtId="3" fontId="0" fillId="13" borderId="14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4" fontId="15" fillId="6" borderId="10" xfId="0" applyNumberFormat="1" applyFont="1" applyFill="1" applyBorder="1"/>
    <xf numFmtId="4" fontId="0" fillId="0" borderId="0" xfId="0" applyNumberFormat="1"/>
    <xf numFmtId="4" fontId="11" fillId="0" borderId="0" xfId="0" applyNumberFormat="1" applyFont="1"/>
    <xf numFmtId="0" fontId="0" fillId="8" borderId="66" xfId="0" applyFill="1" applyBorder="1" applyAlignment="1">
      <alignment wrapText="1"/>
    </xf>
    <xf numFmtId="0" fontId="0" fillId="6" borderId="65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2" fillId="0" borderId="46" xfId="0" applyNumberFormat="1" applyFont="1" applyBorder="1" applyAlignment="1">
      <alignment vertical="center" wrapText="1"/>
    </xf>
    <xf numFmtId="0" fontId="0" fillId="0" borderId="47" xfId="0" applyBorder="1" applyAlignment="1">
      <alignment vertical="center"/>
    </xf>
    <xf numFmtId="4" fontId="2" fillId="0" borderId="47" xfId="0" applyNumberFormat="1" applyFont="1" applyBorder="1" applyAlignment="1">
      <alignment vertical="center" wrapText="1"/>
    </xf>
    <xf numFmtId="0" fontId="2" fillId="0" borderId="47" xfId="0" applyFont="1" applyBorder="1" applyAlignment="1">
      <alignment vertical="center"/>
    </xf>
    <xf numFmtId="4" fontId="1" fillId="5" borderId="25" xfId="0" applyNumberFormat="1" applyFont="1" applyFill="1" applyBorder="1" applyAlignment="1">
      <alignment horizontal="center" vertical="center"/>
    </xf>
    <xf numFmtId="4" fontId="1" fillId="5" borderId="27" xfId="0" applyNumberFormat="1" applyFont="1" applyFill="1" applyBorder="1" applyAlignment="1">
      <alignment horizontal="center" vertical="center"/>
    </xf>
    <xf numFmtId="4" fontId="1" fillId="5" borderId="26" xfId="0" applyNumberFormat="1" applyFont="1" applyFill="1" applyBorder="1" applyAlignment="1">
      <alignment horizontal="center" vertical="center"/>
    </xf>
    <xf numFmtId="4" fontId="1" fillId="6" borderId="21" xfId="0" applyNumberFormat="1" applyFont="1" applyFill="1" applyBorder="1" applyAlignment="1">
      <alignment horizontal="center" vertical="center"/>
    </xf>
    <xf numFmtId="4" fontId="1" fillId="6" borderId="20" xfId="0" applyNumberFormat="1" applyFont="1" applyFill="1" applyBorder="1" applyAlignment="1">
      <alignment horizontal="center" vertical="center"/>
    </xf>
    <xf numFmtId="4" fontId="1" fillId="6" borderId="22" xfId="0" applyNumberFormat="1" applyFont="1" applyFill="1" applyBorder="1" applyAlignment="1">
      <alignment horizontal="center" vertical="center"/>
    </xf>
    <xf numFmtId="4" fontId="1" fillId="6" borderId="19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" fontId="1" fillId="5" borderId="24" xfId="0" applyNumberFormat="1" applyFont="1" applyFill="1" applyBorder="1" applyAlignment="1">
      <alignment horizontal="center" vertical="center"/>
    </xf>
    <xf numFmtId="0" fontId="0" fillId="0" borderId="6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9" borderId="7" xfId="0" applyFont="1" applyFill="1" applyBorder="1" applyAlignment="1">
      <alignment wrapText="1"/>
    </xf>
    <xf numFmtId="0" fontId="5" fillId="9" borderId="10" xfId="0" applyFont="1" applyFill="1" applyBorder="1" applyAlignment="1">
      <alignment wrapText="1"/>
    </xf>
    <xf numFmtId="49" fontId="2" fillId="0" borderId="1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0" fontId="0" fillId="0" borderId="20" xfId="0" applyBorder="1" applyAlignment="1">
      <alignment wrapText="1"/>
    </xf>
    <xf numFmtId="0" fontId="0" fillId="0" borderId="19" xfId="0" applyBorder="1" applyAlignment="1">
      <alignment wrapText="1"/>
    </xf>
    <xf numFmtId="0" fontId="3" fillId="0" borderId="7" xfId="0" applyFont="1" applyBorder="1" applyAlignment="1">
      <alignment horizontal="center" vertical="center"/>
    </xf>
    <xf numFmtId="0" fontId="0" fillId="0" borderId="17" xfId="0" applyBorder="1" applyAlignment="1"/>
    <xf numFmtId="0" fontId="0" fillId="0" borderId="16" xfId="0" applyBorder="1" applyAlignment="1"/>
    <xf numFmtId="0" fontId="9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180" wrapText="1"/>
    </xf>
    <xf numFmtId="0" fontId="0" fillId="0" borderId="8" xfId="0" applyBorder="1" applyAlignment="1">
      <alignment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48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1" fontId="0" fillId="0" borderId="60" xfId="0" applyNumberFormat="1" applyBorder="1" applyAlignment="1">
      <alignment horizontal="center" vertical="center" wrapText="1"/>
    </xf>
    <xf numFmtId="1" fontId="0" fillId="0" borderId="61" xfId="0" applyNumberFormat="1" applyBorder="1" applyAlignment="1">
      <alignment horizontal="center" vertical="center" wrapText="1"/>
    </xf>
    <xf numFmtId="2" fontId="0" fillId="0" borderId="62" xfId="0" applyNumberFormat="1" applyBorder="1" applyAlignment="1">
      <alignment horizontal="center" vertical="center" wrapText="1"/>
    </xf>
    <xf numFmtId="2" fontId="0" fillId="0" borderId="63" xfId="0" applyNumberFormat="1" applyBorder="1" applyAlignment="1">
      <alignment horizontal="center" vertical="center" wrapText="1"/>
    </xf>
    <xf numFmtId="0" fontId="3" fillId="0" borderId="36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4" fontId="2" fillId="0" borderId="37" xfId="0" applyNumberFormat="1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4" fontId="2" fillId="0" borderId="38" xfId="0" applyNumberFormat="1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3" fillId="0" borderId="60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4" fontId="2" fillId="0" borderId="46" xfId="0" applyNumberFormat="1" applyFont="1" applyBorder="1" applyAlignment="1">
      <alignment vertical="center"/>
    </xf>
    <xf numFmtId="4" fontId="2" fillId="0" borderId="47" xfId="0" applyNumberFormat="1" applyFont="1" applyBorder="1" applyAlignment="1">
      <alignment vertical="center"/>
    </xf>
    <xf numFmtId="4" fontId="2" fillId="0" borderId="62" xfId="0" applyNumberFormat="1" applyFont="1" applyBorder="1" applyAlignment="1">
      <alignment vertical="center"/>
    </xf>
    <xf numFmtId="4" fontId="2" fillId="0" borderId="63" xfId="0" applyNumberFormat="1" applyFont="1" applyBorder="1" applyAlignment="1">
      <alignment vertical="center"/>
    </xf>
    <xf numFmtId="4" fontId="2" fillId="0" borderId="42" xfId="0" applyNumberFormat="1" applyFont="1" applyBorder="1" applyAlignment="1">
      <alignment vertical="center"/>
    </xf>
    <xf numFmtId="0" fontId="3" fillId="0" borderId="53" xfId="0" applyFont="1" applyBorder="1" applyAlignment="1">
      <alignment vertical="center"/>
    </xf>
    <xf numFmtId="4" fontId="2" fillId="0" borderId="43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vertical="center" wrapText="1"/>
    </xf>
    <xf numFmtId="0" fontId="0" fillId="0" borderId="47" xfId="0" applyBorder="1" applyAlignment="1">
      <alignment vertical="center"/>
    </xf>
    <xf numFmtId="0" fontId="2" fillId="0" borderId="47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4" fontId="2" fillId="0" borderId="47" xfId="0" applyNumberFormat="1" applyFont="1" applyBorder="1" applyAlignment="1">
      <alignment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0" fillId="0" borderId="47" xfId="0" applyNumberFormat="1" applyBorder="1" applyAlignment="1">
      <alignment horizontal="center" vertical="center"/>
    </xf>
    <xf numFmtId="4" fontId="2" fillId="0" borderId="46" xfId="0" applyNumberFormat="1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4AF4E0"/>
      <color rgb="FFFF3399"/>
      <color rgb="FFE1A01F"/>
      <color rgb="FFE5761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abSelected="1" topLeftCell="A4" zoomScale="85" zoomScaleNormal="85" workbookViewId="0">
      <pane xSplit="3" ySplit="2" topLeftCell="D6" activePane="bottomRight" state="frozen"/>
      <selection activeCell="A4" sqref="A4"/>
      <selection pane="topRight" activeCell="D4" sqref="D4"/>
      <selection pane="bottomLeft" activeCell="A6" sqref="A6"/>
      <selection pane="bottomRight" activeCell="AF22" sqref="AF22"/>
    </sheetView>
  </sheetViews>
  <sheetFormatPr defaultRowHeight="15" x14ac:dyDescent="0.25"/>
  <cols>
    <col min="1" max="1" width="9.140625" customWidth="1"/>
    <col min="2" max="2" width="6.7109375" customWidth="1"/>
    <col min="3" max="3" width="4.140625" customWidth="1"/>
    <col min="4" max="25" width="10.7109375" customWidth="1"/>
    <col min="27" max="34" width="10.7109375" customWidth="1"/>
  </cols>
  <sheetData>
    <row r="1" spans="1:34" ht="28.5" x14ac:dyDescent="0.25">
      <c r="A1" s="195" t="s">
        <v>33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</row>
    <row r="2" spans="1:34" ht="28.5" x14ac:dyDescent="0.25">
      <c r="A2" s="106"/>
      <c r="B2" s="106"/>
      <c r="C2" s="106"/>
      <c r="D2" s="121"/>
      <c r="E2" s="209" t="s">
        <v>81</v>
      </c>
      <c r="F2" s="210"/>
      <c r="G2" s="210"/>
      <c r="H2" s="210"/>
      <c r="I2" s="210"/>
      <c r="J2" s="210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</row>
    <row r="3" spans="1:34" ht="15.75" thickBot="1" x14ac:dyDescent="0.3">
      <c r="D3" s="122"/>
      <c r="I3" t="s">
        <v>11</v>
      </c>
    </row>
    <row r="4" spans="1:34" ht="30" customHeight="1" thickTop="1" x14ac:dyDescent="0.25">
      <c r="A4" s="187" t="s">
        <v>12</v>
      </c>
      <c r="B4" s="204" t="s">
        <v>30</v>
      </c>
      <c r="C4" s="196" t="s">
        <v>32</v>
      </c>
      <c r="D4" s="207" t="s">
        <v>0</v>
      </c>
      <c r="E4" s="207"/>
      <c r="F4" s="207"/>
      <c r="G4" s="207"/>
      <c r="H4" s="6" t="s">
        <v>1</v>
      </c>
      <c r="I4" s="207" t="s">
        <v>2</v>
      </c>
      <c r="J4" s="207"/>
      <c r="K4" s="207"/>
      <c r="L4" s="207"/>
      <c r="M4" s="207"/>
      <c r="N4" s="207"/>
      <c r="O4" s="211" t="s">
        <v>3</v>
      </c>
      <c r="P4" s="211"/>
      <c r="Q4" s="211"/>
      <c r="R4" s="207" t="s">
        <v>4</v>
      </c>
      <c r="S4" s="207"/>
      <c r="T4" s="207"/>
      <c r="U4" s="211" t="s">
        <v>5</v>
      </c>
      <c r="V4" s="211"/>
      <c r="W4" s="211"/>
      <c r="X4" s="207" t="s">
        <v>10</v>
      </c>
      <c r="Y4" s="208"/>
    </row>
    <row r="5" spans="1:34" ht="77.25" thickBot="1" x14ac:dyDescent="0.3">
      <c r="A5" s="188"/>
      <c r="B5" s="197"/>
      <c r="C5" s="197"/>
      <c r="D5" s="15" t="s">
        <v>25</v>
      </c>
      <c r="E5" s="13" t="s">
        <v>26</v>
      </c>
      <c r="F5" s="89" t="s">
        <v>27</v>
      </c>
      <c r="G5" s="89" t="s">
        <v>18</v>
      </c>
      <c r="H5" s="15" t="s">
        <v>37</v>
      </c>
      <c r="I5" s="15" t="s">
        <v>39</v>
      </c>
      <c r="J5" s="15" t="s">
        <v>38</v>
      </c>
      <c r="K5" s="15" t="s">
        <v>40</v>
      </c>
      <c r="L5" s="15" t="s">
        <v>41</v>
      </c>
      <c r="M5" s="15" t="s">
        <v>42</v>
      </c>
      <c r="N5" s="89" t="s">
        <v>6</v>
      </c>
      <c r="O5" s="15" t="s">
        <v>43</v>
      </c>
      <c r="P5" s="15" t="s">
        <v>44</v>
      </c>
      <c r="Q5" s="89" t="s">
        <v>7</v>
      </c>
      <c r="R5" s="15" t="s">
        <v>45</v>
      </c>
      <c r="S5" s="15" t="s">
        <v>46</v>
      </c>
      <c r="T5" s="89" t="s">
        <v>71</v>
      </c>
      <c r="U5" s="15" t="s">
        <v>47</v>
      </c>
      <c r="V5" s="15" t="s">
        <v>48</v>
      </c>
      <c r="W5" s="89" t="s">
        <v>9</v>
      </c>
      <c r="X5" s="14" t="s">
        <v>28</v>
      </c>
      <c r="Y5" s="92" t="s">
        <v>70</v>
      </c>
    </row>
    <row r="6" spans="1:34" ht="15.75" thickTop="1" x14ac:dyDescent="0.25">
      <c r="A6" s="189"/>
      <c r="B6" s="192">
        <v>2017</v>
      </c>
      <c r="C6" s="179" t="s">
        <v>56</v>
      </c>
      <c r="D6" s="60">
        <v>1338770</v>
      </c>
      <c r="E6" s="60">
        <v>600106</v>
      </c>
      <c r="F6" s="60">
        <v>3953</v>
      </c>
      <c r="G6" s="62">
        <v>60.5</v>
      </c>
      <c r="H6" s="40">
        <v>1753483</v>
      </c>
      <c r="I6" s="40">
        <v>2968450</v>
      </c>
      <c r="J6" s="40">
        <v>4913480</v>
      </c>
      <c r="K6" s="40">
        <v>973593</v>
      </c>
      <c r="L6" s="40">
        <v>874669</v>
      </c>
      <c r="M6" s="40">
        <v>1832450</v>
      </c>
      <c r="N6" s="40">
        <v>6976</v>
      </c>
      <c r="O6" s="40">
        <v>4455830</v>
      </c>
      <c r="P6" s="40">
        <v>1966370</v>
      </c>
      <c r="Q6" s="40">
        <v>5790</v>
      </c>
      <c r="R6" s="40">
        <v>3197500</v>
      </c>
      <c r="S6" s="40">
        <v>147832</v>
      </c>
      <c r="T6" s="40">
        <v>290</v>
      </c>
      <c r="U6" s="40">
        <v>11617100</v>
      </c>
      <c r="V6" s="40">
        <v>2387770</v>
      </c>
      <c r="W6" s="40">
        <v>6690</v>
      </c>
      <c r="X6" s="40">
        <v>69435</v>
      </c>
      <c r="Y6" s="41">
        <v>0</v>
      </c>
    </row>
    <row r="7" spans="1:34" x14ac:dyDescent="0.25">
      <c r="A7" s="190"/>
      <c r="B7" s="193"/>
      <c r="C7" s="180"/>
      <c r="D7" s="61">
        <v>1473610</v>
      </c>
      <c r="E7" s="61">
        <v>667080</v>
      </c>
      <c r="F7" s="120">
        <v>3299</v>
      </c>
      <c r="G7" s="63">
        <v>104.5</v>
      </c>
      <c r="H7" s="42">
        <v>1889510</v>
      </c>
      <c r="I7" s="42">
        <v>3264730</v>
      </c>
      <c r="J7" s="42">
        <v>5317400</v>
      </c>
      <c r="K7" s="42">
        <v>1063780</v>
      </c>
      <c r="L7" s="42">
        <v>946830</v>
      </c>
      <c r="M7" s="42">
        <v>2098290</v>
      </c>
      <c r="N7" s="42">
        <v>7808</v>
      </c>
      <c r="O7" s="42">
        <v>4960520</v>
      </c>
      <c r="P7" s="42">
        <v>2211560</v>
      </c>
      <c r="Q7" s="42">
        <v>6852</v>
      </c>
      <c r="R7" s="42">
        <v>4920550</v>
      </c>
      <c r="S7" s="42">
        <v>150500</v>
      </c>
      <c r="T7" s="123">
        <v>1369</v>
      </c>
      <c r="U7" s="42">
        <v>12724610</v>
      </c>
      <c r="V7" s="42">
        <v>2620550</v>
      </c>
      <c r="W7" s="42">
        <v>7325</v>
      </c>
      <c r="X7" s="42">
        <v>77923</v>
      </c>
      <c r="Y7" s="43">
        <v>0</v>
      </c>
    </row>
    <row r="8" spans="1:34" ht="20.100000000000001" customHeight="1" x14ac:dyDescent="0.25">
      <c r="A8" s="190"/>
      <c r="B8" s="193"/>
      <c r="C8" s="25" t="s">
        <v>58</v>
      </c>
      <c r="D8" s="72"/>
      <c r="E8" s="72"/>
      <c r="F8" s="72"/>
      <c r="G8" s="73"/>
      <c r="H8" s="30">
        <f>SUM(H7-H6)</f>
        <v>136027</v>
      </c>
      <c r="I8" s="30">
        <f t="shared" ref="I8:V8" si="0">SUM(I7-I6)</f>
        <v>296280</v>
      </c>
      <c r="J8" s="30">
        <f t="shared" si="0"/>
        <v>403920</v>
      </c>
      <c r="K8" s="30">
        <f t="shared" si="0"/>
        <v>90187</v>
      </c>
      <c r="L8" s="30">
        <f t="shared" si="0"/>
        <v>72161</v>
      </c>
      <c r="M8" s="30">
        <f t="shared" si="0"/>
        <v>265840</v>
      </c>
      <c r="N8" s="31"/>
      <c r="O8" s="30">
        <f t="shared" si="0"/>
        <v>504690</v>
      </c>
      <c r="P8" s="30">
        <f t="shared" si="0"/>
        <v>245190</v>
      </c>
      <c r="Q8" s="31"/>
      <c r="R8" s="67">
        <f t="shared" si="0"/>
        <v>1723050</v>
      </c>
      <c r="S8" s="67">
        <f t="shared" si="0"/>
        <v>2668</v>
      </c>
      <c r="T8" s="31"/>
      <c r="U8" s="30">
        <f t="shared" si="0"/>
        <v>1107510</v>
      </c>
      <c r="V8" s="30">
        <f t="shared" si="0"/>
        <v>232780</v>
      </c>
      <c r="W8" s="31"/>
      <c r="X8" s="31"/>
      <c r="Y8" s="76"/>
      <c r="Z8" t="s">
        <v>11</v>
      </c>
    </row>
    <row r="9" spans="1:34" ht="20.100000000000001" customHeight="1" thickBot="1" x14ac:dyDescent="0.3">
      <c r="A9" s="191"/>
      <c r="B9" s="194"/>
      <c r="C9" s="8" t="s">
        <v>31</v>
      </c>
      <c r="D9" s="33">
        <f>SUM(D7-D6)</f>
        <v>134840</v>
      </c>
      <c r="E9" s="34">
        <f>SUM(E7-E6)</f>
        <v>66974</v>
      </c>
      <c r="F9" s="124">
        <f>SUM(F7-F6)</f>
        <v>-654</v>
      </c>
      <c r="G9" s="64">
        <f>SUM(G7-G6)</f>
        <v>44</v>
      </c>
      <c r="H9" s="32">
        <f>SUM(H8/10.55/3.6)</f>
        <v>3581.5429173249072</v>
      </c>
      <c r="I9" s="32">
        <f t="shared" ref="I9:V9" si="1">SUM(I8/10.55/3.6)</f>
        <v>7800.947867298577</v>
      </c>
      <c r="J9" s="32">
        <f t="shared" si="1"/>
        <v>10635.071090047391</v>
      </c>
      <c r="K9" s="32">
        <f t="shared" si="1"/>
        <v>2374.5918904686678</v>
      </c>
      <c r="L9" s="32">
        <f t="shared" si="1"/>
        <v>1899.9736703528172</v>
      </c>
      <c r="M9" s="32">
        <f t="shared" si="1"/>
        <v>6999.4734070563445</v>
      </c>
      <c r="N9" s="91">
        <f>SUM(N7-N6)</f>
        <v>832</v>
      </c>
      <c r="O9" s="32">
        <f t="shared" si="1"/>
        <v>13288.309636650867</v>
      </c>
      <c r="P9" s="32">
        <f t="shared" si="1"/>
        <v>6455.7661927330173</v>
      </c>
      <c r="Q9" s="91">
        <f>SUM(Q7-Q6)</f>
        <v>1062</v>
      </c>
      <c r="R9" s="68">
        <f t="shared" si="1"/>
        <v>45367.29857819905</v>
      </c>
      <c r="S9" s="68">
        <f t="shared" si="1"/>
        <v>70.247498683517634</v>
      </c>
      <c r="T9" s="125">
        <f>SUM(T7-T6)</f>
        <v>1079</v>
      </c>
      <c r="U9" s="32">
        <f t="shared" si="1"/>
        <v>29160.347551342806</v>
      </c>
      <c r="V9" s="32">
        <f t="shared" si="1"/>
        <v>6129.015271195366</v>
      </c>
      <c r="W9" s="91">
        <f>SUM(W7-W6)</f>
        <v>635</v>
      </c>
      <c r="X9" s="38">
        <f>SUM(X7-X6)</f>
        <v>8488</v>
      </c>
      <c r="Y9" s="49">
        <f>SUM(Y7-Y6)</f>
        <v>0</v>
      </c>
      <c r="AA9" s="167" t="s">
        <v>85</v>
      </c>
      <c r="AB9" s="167"/>
      <c r="AC9" s="167"/>
      <c r="AD9" s="167"/>
      <c r="AE9" s="167"/>
      <c r="AF9" s="167"/>
      <c r="AG9" s="167"/>
      <c r="AH9" s="167"/>
    </row>
    <row r="10" spans="1:34" ht="20.100000000000001" customHeight="1" x14ac:dyDescent="0.25">
      <c r="A10" s="171"/>
      <c r="B10" s="186">
        <v>2018</v>
      </c>
      <c r="C10" s="46" t="s">
        <v>57</v>
      </c>
      <c r="D10" s="140">
        <v>1544527</v>
      </c>
      <c r="E10" s="44">
        <v>736180</v>
      </c>
      <c r="F10" s="44">
        <v>4267</v>
      </c>
      <c r="G10" s="65">
        <v>138.5</v>
      </c>
      <c r="H10" s="47">
        <v>1991948</v>
      </c>
      <c r="I10" s="47">
        <v>3491530</v>
      </c>
      <c r="J10" s="47">
        <v>5638700</v>
      </c>
      <c r="K10" s="47">
        <v>1120480</v>
      </c>
      <c r="L10" s="47">
        <v>997860</v>
      </c>
      <c r="M10" s="47">
        <v>2340210</v>
      </c>
      <c r="N10" s="42">
        <v>8677</v>
      </c>
      <c r="O10" s="47">
        <v>5353677.8</v>
      </c>
      <c r="P10" s="47">
        <v>2393000</v>
      </c>
      <c r="Q10" s="42">
        <v>7692</v>
      </c>
      <c r="R10" s="139">
        <v>4322612</v>
      </c>
      <c r="S10" s="139">
        <v>605726</v>
      </c>
      <c r="T10" s="42">
        <v>1819</v>
      </c>
      <c r="U10" s="47">
        <v>13745210</v>
      </c>
      <c r="V10" s="47">
        <v>2801990</v>
      </c>
      <c r="W10" s="42">
        <v>7950</v>
      </c>
      <c r="X10" s="47">
        <v>86323</v>
      </c>
      <c r="Y10" s="50">
        <v>0</v>
      </c>
      <c r="AA10" s="134" t="s">
        <v>84</v>
      </c>
      <c r="AB10" s="134">
        <v>2017</v>
      </c>
      <c r="AC10" s="134">
        <v>2018</v>
      </c>
      <c r="AD10" s="134">
        <v>2019</v>
      </c>
      <c r="AE10" s="134">
        <v>2020</v>
      </c>
      <c r="AF10" s="134">
        <v>2021</v>
      </c>
      <c r="AG10" s="134">
        <v>2022</v>
      </c>
      <c r="AH10" s="134">
        <v>2023</v>
      </c>
    </row>
    <row r="11" spans="1:34" ht="20.100000000000001" customHeight="1" x14ac:dyDescent="0.25">
      <c r="A11" s="172"/>
      <c r="B11" s="176"/>
      <c r="C11" s="12" t="s">
        <v>58</v>
      </c>
      <c r="D11" s="74">
        <v>0</v>
      </c>
      <c r="E11" s="74">
        <v>0</v>
      </c>
      <c r="F11" s="74">
        <v>0</v>
      </c>
      <c r="G11" s="75">
        <v>0</v>
      </c>
      <c r="H11" s="129">
        <f>SUM(H10-H7)</f>
        <v>102438</v>
      </c>
      <c r="I11" s="129">
        <f t="shared" ref="I11:V11" si="2">SUM(I10-I7)</f>
        <v>226800</v>
      </c>
      <c r="J11" s="129">
        <f t="shared" si="2"/>
        <v>321300</v>
      </c>
      <c r="K11" s="129">
        <f t="shared" si="2"/>
        <v>56700</v>
      </c>
      <c r="L11" s="129">
        <f t="shared" si="2"/>
        <v>51030</v>
      </c>
      <c r="M11" s="129">
        <f t="shared" si="2"/>
        <v>241920</v>
      </c>
      <c r="N11" s="31"/>
      <c r="O11" s="129">
        <f t="shared" si="2"/>
        <v>393157.79999999981</v>
      </c>
      <c r="P11" s="129">
        <f t="shared" si="2"/>
        <v>181440</v>
      </c>
      <c r="Q11" s="31"/>
      <c r="R11" s="129">
        <f t="shared" si="2"/>
        <v>-597938</v>
      </c>
      <c r="S11" s="129">
        <f t="shared" si="2"/>
        <v>455226</v>
      </c>
      <c r="T11" s="31"/>
      <c r="U11" s="128">
        <f t="shared" si="2"/>
        <v>1020600</v>
      </c>
      <c r="V11" s="129">
        <f t="shared" si="2"/>
        <v>181440</v>
      </c>
      <c r="W11" s="31"/>
      <c r="X11" s="77"/>
      <c r="Y11" s="78"/>
      <c r="AA11" s="134" t="s">
        <v>82</v>
      </c>
      <c r="AB11" s="135">
        <f>SUM(I9:J9)+M9</f>
        <v>25435.492364402315</v>
      </c>
      <c r="AC11" s="135">
        <f>SUM(I12:J12)+M12</f>
        <v>20800.947867298575</v>
      </c>
      <c r="AD11" s="135">
        <f>SUM(I15:J15)+M15</f>
        <v>27819.90521327014</v>
      </c>
      <c r="AE11" s="135">
        <f>SUM(I18:J18)+M18</f>
        <v>25200.631911532382</v>
      </c>
      <c r="AF11" s="135">
        <f>SUM(I21:J21)+M21</f>
        <v>27203.080568720376</v>
      </c>
      <c r="AG11" s="135">
        <f>SUM(I24:J24)+M24</f>
        <v>22311.901000526588</v>
      </c>
      <c r="AH11" s="135">
        <f>SUM(I27:J27)+M27</f>
        <v>-404548.15692469716</v>
      </c>
    </row>
    <row r="12" spans="1:34" ht="20.100000000000001" customHeight="1" thickBot="1" x14ac:dyDescent="0.3">
      <c r="A12" s="173"/>
      <c r="B12" s="177"/>
      <c r="C12" s="8" t="s">
        <v>31</v>
      </c>
      <c r="D12" s="33">
        <f>SUM(D10-D7)</f>
        <v>70917</v>
      </c>
      <c r="E12" s="34">
        <f>SUM(E10-E7)</f>
        <v>69100</v>
      </c>
      <c r="F12" s="35">
        <f>SUM(F10-F7)</f>
        <v>968</v>
      </c>
      <c r="G12" s="64">
        <f>SUM(G10-G7)</f>
        <v>34</v>
      </c>
      <c r="H12" s="32">
        <f>SUM(H11/10.55/3.6)</f>
        <v>2697.1563981042655</v>
      </c>
      <c r="I12" s="32">
        <f t="shared" ref="I12:V12" si="3">SUM(I11/10.55/3.6)</f>
        <v>5971.5639810426537</v>
      </c>
      <c r="J12" s="32">
        <f t="shared" si="3"/>
        <v>8459.7156398104253</v>
      </c>
      <c r="K12" s="32">
        <f t="shared" si="3"/>
        <v>1492.8909952606634</v>
      </c>
      <c r="L12" s="32">
        <f t="shared" si="3"/>
        <v>1343.6018957345971</v>
      </c>
      <c r="M12" s="32">
        <f t="shared" si="3"/>
        <v>6369.6682464454971</v>
      </c>
      <c r="N12" s="91">
        <f>SUM(N10-N7)</f>
        <v>869</v>
      </c>
      <c r="O12" s="32">
        <f t="shared" si="3"/>
        <v>10351.706161137434</v>
      </c>
      <c r="P12" s="32">
        <f t="shared" si="3"/>
        <v>4777.2511848341228</v>
      </c>
      <c r="Q12" s="91">
        <f>SUM(Q10-Q7)</f>
        <v>840</v>
      </c>
      <c r="R12" s="32">
        <f t="shared" si="3"/>
        <v>-15743.496577145866</v>
      </c>
      <c r="S12" s="32">
        <f t="shared" si="3"/>
        <v>11985.939968404422</v>
      </c>
      <c r="T12" s="91">
        <f>SUM(T10-T7)</f>
        <v>450</v>
      </c>
      <c r="U12" s="32">
        <f t="shared" si="3"/>
        <v>26872.03791469194</v>
      </c>
      <c r="V12" s="32">
        <f t="shared" si="3"/>
        <v>4777.2511848341228</v>
      </c>
      <c r="W12" s="91">
        <f>SUM(W10-W7)</f>
        <v>625</v>
      </c>
      <c r="X12" s="136">
        <f>SUM(X10-X7)</f>
        <v>8400</v>
      </c>
      <c r="Y12" s="51">
        <f>SUM(Y10-Y7)</f>
        <v>0</v>
      </c>
      <c r="AA12" s="134" t="s">
        <v>83</v>
      </c>
      <c r="AB12" s="135">
        <f>SUM(O9:P9)</f>
        <v>19744.075829383884</v>
      </c>
      <c r="AC12" s="135">
        <f>SUM(O12:P12)</f>
        <v>15128.957345971558</v>
      </c>
      <c r="AD12" s="135">
        <f>SUM(O15:P15)</f>
        <v>19842.606635071093</v>
      </c>
      <c r="AE12" s="135">
        <f>SUM(O18:P18)</f>
        <v>14206.687730384412</v>
      </c>
      <c r="AF12" s="135">
        <f>SUM(O21:P21)</f>
        <v>19935.966298051604</v>
      </c>
      <c r="AG12" s="135">
        <f>SUM(O24:P24)</f>
        <v>11701.869404949974</v>
      </c>
      <c r="AH12" s="135">
        <f>SUM(O27:P27)</f>
        <v>-269654.42338072666</v>
      </c>
    </row>
    <row r="13" spans="1:34" ht="20.100000000000001" customHeight="1" x14ac:dyDescent="0.25">
      <c r="A13" s="185"/>
      <c r="B13" s="186">
        <v>2019</v>
      </c>
      <c r="C13" s="46" t="s">
        <v>57</v>
      </c>
      <c r="D13" s="44">
        <v>1583450</v>
      </c>
      <c r="E13" s="44">
        <v>800680</v>
      </c>
      <c r="F13" s="44">
        <v>4950</v>
      </c>
      <c r="G13" s="65">
        <v>168.5</v>
      </c>
      <c r="H13" s="45">
        <v>2126950</v>
      </c>
      <c r="I13" s="45">
        <v>3808750</v>
      </c>
      <c r="J13" s="45">
        <v>6037990</v>
      </c>
      <c r="K13" s="45">
        <v>1209900</v>
      </c>
      <c r="L13" s="45">
        <v>1078090</v>
      </c>
      <c r="M13" s="45">
        <v>2680300</v>
      </c>
      <c r="N13" s="42">
        <v>9615</v>
      </c>
      <c r="O13" s="45">
        <v>5859500</v>
      </c>
      <c r="P13" s="45">
        <v>2640800</v>
      </c>
      <c r="Q13" s="42">
        <v>8700</v>
      </c>
      <c r="R13" s="45">
        <v>4725200</v>
      </c>
      <c r="S13" s="45">
        <v>845000</v>
      </c>
      <c r="T13" s="42">
        <v>2329</v>
      </c>
      <c r="U13" s="45">
        <v>14970800</v>
      </c>
      <c r="V13" s="45">
        <v>3103400</v>
      </c>
      <c r="W13" s="42">
        <v>8810</v>
      </c>
      <c r="X13" s="47">
        <v>95246</v>
      </c>
      <c r="Y13" s="50">
        <v>0</v>
      </c>
      <c r="AA13" s="134" t="s">
        <v>4</v>
      </c>
      <c r="AB13" s="135">
        <f>SUM(R9:S9)</f>
        <v>45437.546076882565</v>
      </c>
      <c r="AC13" s="135">
        <f>SUM(R12:S12)</f>
        <v>-3757.5566087414445</v>
      </c>
      <c r="AD13" s="135">
        <f>SUM(R15:S15)</f>
        <v>16900</v>
      </c>
      <c r="AE13" s="135">
        <f>SUM(R18:S18)</f>
        <v>76243.812532912038</v>
      </c>
      <c r="AF13" s="135">
        <f>SUM(R21:S21)</f>
        <v>0.526592943654555</v>
      </c>
      <c r="AG13" s="135">
        <f>SUM(R24:S24)</f>
        <v>2783.3070036861504</v>
      </c>
      <c r="AH13" s="135">
        <f>SUM(R27:S27)</f>
        <v>-2783.3070036861504</v>
      </c>
    </row>
    <row r="14" spans="1:34" ht="20.100000000000001" customHeight="1" x14ac:dyDescent="0.25">
      <c r="A14" s="172"/>
      <c r="B14" s="176"/>
      <c r="C14" s="12" t="s">
        <v>58</v>
      </c>
      <c r="D14" s="74">
        <v>0</v>
      </c>
      <c r="E14" s="74">
        <v>0</v>
      </c>
      <c r="F14" s="74">
        <v>0</v>
      </c>
      <c r="G14" s="75">
        <v>0</v>
      </c>
      <c r="H14" s="39">
        <f>SUM(H13-H10)</f>
        <v>135002</v>
      </c>
      <c r="I14" s="39">
        <f t="shared" ref="I14:V14" si="4">SUM(I13-I10)</f>
        <v>317220</v>
      </c>
      <c r="J14" s="39">
        <f t="shared" si="4"/>
        <v>399290</v>
      </c>
      <c r="K14" s="39">
        <f t="shared" si="4"/>
        <v>89420</v>
      </c>
      <c r="L14" s="39">
        <f t="shared" si="4"/>
        <v>80230</v>
      </c>
      <c r="M14" s="39">
        <f t="shared" si="4"/>
        <v>340090</v>
      </c>
      <c r="N14" s="31"/>
      <c r="O14" s="39">
        <f t="shared" si="4"/>
        <v>505822.20000000019</v>
      </c>
      <c r="P14" s="39">
        <f t="shared" si="4"/>
        <v>247800</v>
      </c>
      <c r="Q14" s="31"/>
      <c r="R14" s="39">
        <f t="shared" si="4"/>
        <v>402588</v>
      </c>
      <c r="S14" s="39">
        <f t="shared" si="4"/>
        <v>239274</v>
      </c>
      <c r="T14" s="31"/>
      <c r="U14" s="39">
        <f t="shared" si="4"/>
        <v>1225590</v>
      </c>
      <c r="V14" s="39">
        <f t="shared" si="4"/>
        <v>301410</v>
      </c>
      <c r="W14" s="31"/>
      <c r="X14" s="77"/>
      <c r="Y14" s="78"/>
      <c r="AA14" s="134" t="s">
        <v>5</v>
      </c>
      <c r="AB14" s="135">
        <f>SUM(U9:V9)</f>
        <v>35289.362822538169</v>
      </c>
      <c r="AC14" s="135">
        <f>SUM(U12:V12)</f>
        <v>31649.289099526064</v>
      </c>
      <c r="AD14" s="135">
        <f>SUM(U15:V15)</f>
        <v>40205.371248025273</v>
      </c>
      <c r="AE14" s="135">
        <f>SUM(U18:V18)</f>
        <v>40477.356503422852</v>
      </c>
      <c r="AF14" s="135">
        <f>SUM(U21:V21)</f>
        <v>43830.121116377035</v>
      </c>
      <c r="AG14" s="135">
        <f>SUM(U24:V24)</f>
        <v>41923.170089520798</v>
      </c>
      <c r="AH14" s="135">
        <f>SUM(U27:V27)</f>
        <v>-602117.95681937854</v>
      </c>
    </row>
    <row r="15" spans="1:34" ht="20.100000000000001" customHeight="1" thickBot="1" x14ac:dyDescent="0.3">
      <c r="A15" s="173"/>
      <c r="B15" s="177"/>
      <c r="C15" s="8" t="s">
        <v>31</v>
      </c>
      <c r="D15" s="33">
        <f>SUM(D13-D10)</f>
        <v>38923</v>
      </c>
      <c r="E15" s="34">
        <f>SUM(E13-E10)</f>
        <v>64500</v>
      </c>
      <c r="F15" s="35">
        <f>SUM(F13-F10)</f>
        <v>683</v>
      </c>
      <c r="G15" s="64">
        <f>SUM(G13-G10)</f>
        <v>30</v>
      </c>
      <c r="H15" s="26">
        <f>SUM(H14/10.55/3.6)</f>
        <v>3554.5550289626112</v>
      </c>
      <c r="I15" s="26">
        <f t="shared" ref="I15:V15" si="5">SUM(I14/10.55/3.6)</f>
        <v>8352.2906793048969</v>
      </c>
      <c r="J15" s="26">
        <f t="shared" si="5"/>
        <v>10513.164823591364</v>
      </c>
      <c r="K15" s="26">
        <f t="shared" si="5"/>
        <v>2354.3970510795152</v>
      </c>
      <c r="L15" s="26">
        <f t="shared" si="5"/>
        <v>2112.4275934702473</v>
      </c>
      <c r="M15" s="26">
        <f t="shared" si="5"/>
        <v>8954.4497103738795</v>
      </c>
      <c r="N15" s="91">
        <f>SUM(N13-N10)</f>
        <v>938</v>
      </c>
      <c r="O15" s="26">
        <f t="shared" si="5"/>
        <v>13318.120063191156</v>
      </c>
      <c r="P15" s="26">
        <f t="shared" si="5"/>
        <v>6524.4865718799365</v>
      </c>
      <c r="Q15" s="91">
        <f t="shared" ref="Q15" si="6">SUM(Q13-Q10)</f>
        <v>1008</v>
      </c>
      <c r="R15" s="26">
        <f t="shared" si="5"/>
        <v>10600</v>
      </c>
      <c r="S15" s="26">
        <f t="shared" si="5"/>
        <v>6300</v>
      </c>
      <c r="T15" s="91">
        <f t="shared" ref="T15" si="7">SUM(T13-T10)</f>
        <v>510</v>
      </c>
      <c r="U15" s="26">
        <f t="shared" si="5"/>
        <v>32269.352290679304</v>
      </c>
      <c r="V15" s="26">
        <f t="shared" si="5"/>
        <v>7936.0189573459711</v>
      </c>
      <c r="W15" s="91">
        <f t="shared" ref="W15" si="8">SUM(W13-W10)</f>
        <v>860</v>
      </c>
      <c r="X15" s="136">
        <f>SUM(X13-X10)</f>
        <v>8923</v>
      </c>
      <c r="Y15" s="51">
        <f>SUM(Y13-Y10)</f>
        <v>0</v>
      </c>
      <c r="AA15" s="134" t="s">
        <v>15</v>
      </c>
      <c r="AB15" s="135">
        <f>SUM(M35:N35)</f>
        <v>6267.7725118483413</v>
      </c>
      <c r="AC15" s="135">
        <f>SUM(M38:N38)</f>
        <v>995.35545023696932</v>
      </c>
      <c r="AD15" s="135">
        <f>SUM(M41:N41)</f>
        <v>7295.8504476039989</v>
      </c>
      <c r="AE15" s="135">
        <f>SUM(M44:N44)</f>
        <v>1.5797788309636649</v>
      </c>
      <c r="AF15" s="135">
        <f>SUM(M47:N47)</f>
        <v>20.326487625065823</v>
      </c>
      <c r="AG15" s="135">
        <f>SUM(M50:N50)</f>
        <v>-57786.334913112158</v>
      </c>
      <c r="AH15" s="135">
        <f>SUM(M53:N53)</f>
        <v>-58336.413902053711</v>
      </c>
    </row>
    <row r="16" spans="1:34" ht="20.100000000000001" customHeight="1" x14ac:dyDescent="0.25">
      <c r="A16" s="185"/>
      <c r="B16" s="186">
        <v>2020</v>
      </c>
      <c r="C16" s="46" t="s">
        <v>57</v>
      </c>
      <c r="D16" s="44">
        <v>1595213</v>
      </c>
      <c r="E16" s="44">
        <v>861178</v>
      </c>
      <c r="F16" s="44">
        <v>5525</v>
      </c>
      <c r="G16" s="65">
        <v>221</v>
      </c>
      <c r="H16" s="45">
        <v>2254999</v>
      </c>
      <c r="I16" s="45">
        <v>4093090</v>
      </c>
      <c r="J16" s="45">
        <v>6421930</v>
      </c>
      <c r="K16" s="45">
        <v>1303633</v>
      </c>
      <c r="L16" s="45">
        <v>1150106</v>
      </c>
      <c r="M16" s="45">
        <v>2969140</v>
      </c>
      <c r="N16" s="42">
        <v>10482</v>
      </c>
      <c r="O16" s="45">
        <v>6325740</v>
      </c>
      <c r="P16" s="45">
        <v>2714130</v>
      </c>
      <c r="Q16" s="42">
        <v>8985</v>
      </c>
      <c r="R16" s="45">
        <v>7621940</v>
      </c>
      <c r="S16" s="45">
        <v>844000</v>
      </c>
      <c r="T16" s="42">
        <v>1368</v>
      </c>
      <c r="U16" s="45">
        <v>16201210</v>
      </c>
      <c r="V16" s="45">
        <v>3410320</v>
      </c>
      <c r="W16" s="42">
        <v>9353</v>
      </c>
      <c r="X16" s="47">
        <v>104088</v>
      </c>
      <c r="Y16" s="50">
        <v>0</v>
      </c>
      <c r="AA16" s="134" t="s">
        <v>86</v>
      </c>
      <c r="AB16" s="135">
        <f>SUM(P35+S35)</f>
        <v>18685.91469194313</v>
      </c>
      <c r="AC16" s="135">
        <f>SUM(P38+S38)</f>
        <v>11537.317535545024</v>
      </c>
      <c r="AD16" s="135">
        <f>SUM(P41+S41)</f>
        <v>3676.0700368615062</v>
      </c>
      <c r="AE16" s="135">
        <f>SUM(P44+S44)</f>
        <v>1981.2927856766719</v>
      </c>
      <c r="AF16" s="135">
        <f>SUM(P47+S47)</f>
        <v>2869.9647182727749</v>
      </c>
      <c r="AG16" s="135">
        <f>SUM(P50+S50)</f>
        <v>1866.1074249605053</v>
      </c>
      <c r="AH16" s="135">
        <f>SUM(P53+S53)</f>
        <v>-44433.544497103736</v>
      </c>
    </row>
    <row r="17" spans="1:34" ht="20.100000000000001" customHeight="1" x14ac:dyDescent="0.25">
      <c r="A17" s="172"/>
      <c r="B17" s="176"/>
      <c r="C17" s="12" t="s">
        <v>58</v>
      </c>
      <c r="D17" s="74">
        <v>0</v>
      </c>
      <c r="E17" s="74">
        <v>0</v>
      </c>
      <c r="F17" s="74">
        <v>0</v>
      </c>
      <c r="G17" s="75">
        <v>0</v>
      </c>
      <c r="H17" s="39">
        <f t="shared" ref="H17:V17" si="9">SUM(H16-H13)</f>
        <v>128049</v>
      </c>
      <c r="I17" s="39">
        <f t="shared" si="9"/>
        <v>284340</v>
      </c>
      <c r="J17" s="39">
        <f t="shared" si="9"/>
        <v>383940</v>
      </c>
      <c r="K17" s="39">
        <f t="shared" si="9"/>
        <v>93733</v>
      </c>
      <c r="L17" s="39">
        <f t="shared" si="9"/>
        <v>72016</v>
      </c>
      <c r="M17" s="39">
        <f t="shared" si="9"/>
        <v>288840</v>
      </c>
      <c r="N17" s="31"/>
      <c r="O17" s="39">
        <f t="shared" si="9"/>
        <v>466240</v>
      </c>
      <c r="P17" s="39">
        <f t="shared" si="9"/>
        <v>73330</v>
      </c>
      <c r="Q17" s="31"/>
      <c r="R17" s="39">
        <f t="shared" si="9"/>
        <v>2896740</v>
      </c>
      <c r="S17" s="39">
        <f t="shared" si="9"/>
        <v>-1000</v>
      </c>
      <c r="T17" s="31"/>
      <c r="U17" s="39">
        <f t="shared" si="9"/>
        <v>1230410</v>
      </c>
      <c r="V17" s="39">
        <f t="shared" si="9"/>
        <v>306920</v>
      </c>
      <c r="W17" s="31"/>
      <c r="X17" s="77"/>
      <c r="Y17" s="78"/>
      <c r="AA17" s="138" t="s">
        <v>87</v>
      </c>
      <c r="AB17" s="135">
        <f>SUM(H35-I35-L35)</f>
        <v>11019.094260136913</v>
      </c>
      <c r="AC17" s="135">
        <f>SUM(H38-I38-L38)</f>
        <v>7922.2748815165878</v>
      </c>
      <c r="AD17" s="135">
        <f>SUM(H41-I41-L41)</f>
        <v>12467.667193259607</v>
      </c>
      <c r="AE17" s="135">
        <f>SUM(H44-I44-L44)</f>
        <v>11320</v>
      </c>
      <c r="AF17" s="135">
        <f>SUM(H47-I47-L47)</f>
        <v>14763.686150605581</v>
      </c>
      <c r="AG17" s="135">
        <f>SUM(H50-I50-L50)</f>
        <v>12562.654028436016</v>
      </c>
      <c r="AH17" s="135">
        <f>SUM(H53-I53-L53)</f>
        <v>65551.658767772504</v>
      </c>
    </row>
    <row r="18" spans="1:34" ht="20.100000000000001" customHeight="1" thickBot="1" x14ac:dyDescent="0.3">
      <c r="A18" s="173"/>
      <c r="B18" s="177"/>
      <c r="C18" s="8" t="s">
        <v>31</v>
      </c>
      <c r="D18" s="33">
        <f>SUM(D16-D13)</f>
        <v>11763</v>
      </c>
      <c r="E18" s="34">
        <f>SUM(E16-E13)</f>
        <v>60498</v>
      </c>
      <c r="F18" s="35">
        <f>SUM(F16-F13)</f>
        <v>575</v>
      </c>
      <c r="G18" s="64">
        <f>SUM(G16-G13)</f>
        <v>52.5</v>
      </c>
      <c r="H18" s="26">
        <f t="shared" ref="H18:V18" si="10">SUM(H17/10.55/3.6)</f>
        <v>3371.4849921011055</v>
      </c>
      <c r="I18" s="26">
        <f t="shared" si="10"/>
        <v>7486.5718799368087</v>
      </c>
      <c r="J18" s="26">
        <f t="shared" si="10"/>
        <v>10109.004739336491</v>
      </c>
      <c r="K18" s="26">
        <f t="shared" si="10"/>
        <v>2467.9568193786199</v>
      </c>
      <c r="L18" s="26">
        <f t="shared" si="10"/>
        <v>1896.1558715113215</v>
      </c>
      <c r="M18" s="26">
        <f t="shared" si="10"/>
        <v>7605.0552922590832</v>
      </c>
      <c r="N18" s="91">
        <f t="shared" ref="N18" si="11">SUM(N16-N13)</f>
        <v>867</v>
      </c>
      <c r="O18" s="26">
        <f t="shared" si="10"/>
        <v>12275.934702474986</v>
      </c>
      <c r="P18" s="26">
        <f t="shared" si="10"/>
        <v>1930.7530279094258</v>
      </c>
      <c r="Q18" s="91">
        <f t="shared" ref="Q18" si="12">SUM(Q16-Q13)</f>
        <v>285</v>
      </c>
      <c r="R18" s="147">
        <f t="shared" si="10"/>
        <v>76270.142180094772</v>
      </c>
      <c r="S18" s="147">
        <f t="shared" si="10"/>
        <v>-26.329647182727747</v>
      </c>
      <c r="T18" s="148">
        <f t="shared" ref="T18" si="13">SUM(T16-T13)</f>
        <v>-961</v>
      </c>
      <c r="U18" s="26">
        <f t="shared" si="10"/>
        <v>32396.261190100049</v>
      </c>
      <c r="V18" s="26">
        <f t="shared" si="10"/>
        <v>8081.0953133228013</v>
      </c>
      <c r="W18" s="91">
        <f t="shared" ref="W18" si="14">SUM(W16-W13)</f>
        <v>543</v>
      </c>
      <c r="X18" s="136">
        <f>SUM(X16-X13)</f>
        <v>8842</v>
      </c>
      <c r="Y18" s="51">
        <f>SUM(Y16-Y13)</f>
        <v>0</v>
      </c>
    </row>
    <row r="19" spans="1:34" ht="20.100000000000001" customHeight="1" x14ac:dyDescent="0.25">
      <c r="A19" s="185"/>
      <c r="B19" s="186">
        <v>2021</v>
      </c>
      <c r="C19" s="46" t="s">
        <v>57</v>
      </c>
      <c r="D19" s="44">
        <v>1608987</v>
      </c>
      <c r="E19" s="44">
        <v>922022</v>
      </c>
      <c r="F19" s="44">
        <v>6168</v>
      </c>
      <c r="G19" s="65">
        <v>316</v>
      </c>
      <c r="H19" s="45">
        <v>2407583</v>
      </c>
      <c r="I19" s="45">
        <v>4445074</v>
      </c>
      <c r="J19" s="45">
        <v>6862918</v>
      </c>
      <c r="K19" s="45">
        <v>1401854</v>
      </c>
      <c r="L19" s="45">
        <v>1221436</v>
      </c>
      <c r="M19" s="45">
        <v>3209341</v>
      </c>
      <c r="N19" s="42">
        <v>11234</v>
      </c>
      <c r="O19" s="45">
        <v>6883388</v>
      </c>
      <c r="P19" s="45">
        <v>2913650</v>
      </c>
      <c r="Q19" s="42">
        <v>9879</v>
      </c>
      <c r="R19" s="45">
        <v>7621960</v>
      </c>
      <c r="S19" s="45">
        <v>844000</v>
      </c>
      <c r="T19" s="42">
        <v>1368</v>
      </c>
      <c r="U19" s="45">
        <v>17564800</v>
      </c>
      <c r="V19" s="45">
        <v>3711398</v>
      </c>
      <c r="W19" s="42">
        <v>9896</v>
      </c>
      <c r="X19" s="47">
        <v>114042</v>
      </c>
      <c r="Y19" s="50">
        <v>0</v>
      </c>
    </row>
    <row r="20" spans="1:34" ht="20.100000000000001" customHeight="1" x14ac:dyDescent="0.25">
      <c r="A20" s="172"/>
      <c r="B20" s="176"/>
      <c r="C20" s="12" t="s">
        <v>58</v>
      </c>
      <c r="D20" s="74">
        <v>0</v>
      </c>
      <c r="E20" s="74">
        <v>0</v>
      </c>
      <c r="F20" s="74">
        <v>0</v>
      </c>
      <c r="G20" s="75">
        <v>0</v>
      </c>
      <c r="H20" s="39">
        <f t="shared" ref="H20:V20" si="15">SUM(H19-H16)</f>
        <v>152584</v>
      </c>
      <c r="I20" s="39">
        <f t="shared" si="15"/>
        <v>351984</v>
      </c>
      <c r="J20" s="39">
        <f t="shared" si="15"/>
        <v>440988</v>
      </c>
      <c r="K20" s="39">
        <f t="shared" si="15"/>
        <v>98221</v>
      </c>
      <c r="L20" s="39">
        <f t="shared" si="15"/>
        <v>71330</v>
      </c>
      <c r="M20" s="39">
        <f t="shared" si="15"/>
        <v>240201</v>
      </c>
      <c r="N20" s="31"/>
      <c r="O20" s="39">
        <f t="shared" si="15"/>
        <v>557648</v>
      </c>
      <c r="P20" s="39">
        <f t="shared" si="15"/>
        <v>199520</v>
      </c>
      <c r="Q20" s="31"/>
      <c r="R20" s="39">
        <f t="shared" si="15"/>
        <v>20</v>
      </c>
      <c r="S20" s="39">
        <f t="shared" si="15"/>
        <v>0</v>
      </c>
      <c r="T20" s="31"/>
      <c r="U20" s="39">
        <f t="shared" si="15"/>
        <v>1363590</v>
      </c>
      <c r="V20" s="39">
        <f t="shared" si="15"/>
        <v>301078</v>
      </c>
      <c r="W20" s="31"/>
      <c r="X20" s="77"/>
      <c r="Y20" s="78"/>
    </row>
    <row r="21" spans="1:34" ht="20.100000000000001" customHeight="1" thickBot="1" x14ac:dyDescent="0.3">
      <c r="A21" s="173"/>
      <c r="B21" s="177"/>
      <c r="C21" s="9" t="s">
        <v>31</v>
      </c>
      <c r="D21" s="33">
        <f>SUM(D19-D16)</f>
        <v>13774</v>
      </c>
      <c r="E21" s="34">
        <f>SUM(E19-E16)</f>
        <v>60844</v>
      </c>
      <c r="F21" s="35">
        <f>SUM(F19-F16)</f>
        <v>643</v>
      </c>
      <c r="G21" s="64">
        <f>SUM(G19-G16)</f>
        <v>95</v>
      </c>
      <c r="H21" s="26">
        <f t="shared" ref="H21:V21" si="16">SUM(H20/10.55/3.6)</f>
        <v>4017.4828857293305</v>
      </c>
      <c r="I21" s="26">
        <f t="shared" si="16"/>
        <v>9267.6145339652448</v>
      </c>
      <c r="J21" s="26">
        <f t="shared" si="16"/>
        <v>11611.058451816743</v>
      </c>
      <c r="K21" s="26">
        <f t="shared" si="16"/>
        <v>2586.1242759347024</v>
      </c>
      <c r="L21" s="26">
        <f t="shared" si="16"/>
        <v>1878.0937335439703</v>
      </c>
      <c r="M21" s="26">
        <f t="shared" si="16"/>
        <v>6324.4075829383873</v>
      </c>
      <c r="N21" s="91">
        <f t="shared" ref="N21" si="17">SUM(N19-N16)</f>
        <v>752</v>
      </c>
      <c r="O21" s="26">
        <f t="shared" si="16"/>
        <v>14682.675092153764</v>
      </c>
      <c r="P21" s="26">
        <f t="shared" si="16"/>
        <v>5253.2912058978409</v>
      </c>
      <c r="Q21" s="91">
        <f t="shared" ref="Q21" si="18">SUM(Q19-Q16)</f>
        <v>894</v>
      </c>
      <c r="R21" s="26">
        <f t="shared" si="16"/>
        <v>0.526592943654555</v>
      </c>
      <c r="S21" s="26">
        <f t="shared" si="16"/>
        <v>0</v>
      </c>
      <c r="T21" s="91">
        <f t="shared" ref="T21" si="19">SUM(T19-T16)</f>
        <v>0</v>
      </c>
      <c r="U21" s="26">
        <f t="shared" si="16"/>
        <v>35902.843601895729</v>
      </c>
      <c r="V21" s="26">
        <f t="shared" si="16"/>
        <v>7927.2775144813049</v>
      </c>
      <c r="W21" s="91">
        <f t="shared" ref="W21" si="20">SUM(W19-W16)</f>
        <v>543</v>
      </c>
      <c r="X21" s="136">
        <f>SUM(X19-X16)</f>
        <v>9954</v>
      </c>
      <c r="Y21" s="51">
        <f>SUM(Y19-Y16)</f>
        <v>0</v>
      </c>
      <c r="AA21" s="122"/>
    </row>
    <row r="22" spans="1:34" ht="20.100000000000001" customHeight="1" x14ac:dyDescent="0.25">
      <c r="A22" s="185"/>
      <c r="B22" s="186">
        <v>2022</v>
      </c>
      <c r="C22" s="46" t="s">
        <v>57</v>
      </c>
      <c r="D22" s="44">
        <v>1613084</v>
      </c>
      <c r="E22" s="44">
        <v>982504</v>
      </c>
      <c r="F22" s="44">
        <v>6841</v>
      </c>
      <c r="G22" s="65">
        <v>398</v>
      </c>
      <c r="H22" s="45">
        <v>2527943</v>
      </c>
      <c r="I22" s="45">
        <v>4732140</v>
      </c>
      <c r="J22" s="45">
        <v>7147880</v>
      </c>
      <c r="K22" s="45">
        <v>1472108</v>
      </c>
      <c r="L22" s="45">
        <v>1256453</v>
      </c>
      <c r="M22" s="45">
        <v>3484719</v>
      </c>
      <c r="N22" s="42">
        <v>12050</v>
      </c>
      <c r="O22" s="45">
        <v>7215005</v>
      </c>
      <c r="P22" s="45">
        <v>3026470</v>
      </c>
      <c r="Q22" s="42">
        <v>10351</v>
      </c>
      <c r="R22" s="45">
        <v>73460</v>
      </c>
      <c r="S22" s="45">
        <v>32250</v>
      </c>
      <c r="T22" s="42">
        <v>1368</v>
      </c>
      <c r="U22" s="45">
        <v>18808890</v>
      </c>
      <c r="V22" s="45">
        <v>4059550</v>
      </c>
      <c r="W22" s="42">
        <v>10800</v>
      </c>
      <c r="X22" s="47">
        <v>123353</v>
      </c>
      <c r="Y22" s="50">
        <v>0</v>
      </c>
      <c r="AA22" t="s">
        <v>11</v>
      </c>
      <c r="AB22" s="151">
        <f>SUM(M9+M12+M15+M18+M21)/5*10.55*3.6</f>
        <v>275378.19999999995</v>
      </c>
      <c r="AD22" t="s">
        <v>91</v>
      </c>
      <c r="AF22" t="s">
        <v>11</v>
      </c>
    </row>
    <row r="23" spans="1:34" ht="20.100000000000001" customHeight="1" x14ac:dyDescent="0.25">
      <c r="A23" s="172"/>
      <c r="B23" s="176"/>
      <c r="C23" s="12" t="s">
        <v>58</v>
      </c>
      <c r="D23" s="74">
        <v>0</v>
      </c>
      <c r="E23" s="74">
        <v>0</v>
      </c>
      <c r="F23" s="74">
        <v>0</v>
      </c>
      <c r="G23" s="75">
        <v>0</v>
      </c>
      <c r="H23" s="39">
        <f t="shared" ref="H23:V23" si="21">SUM(H22-H19)</f>
        <v>120360</v>
      </c>
      <c r="I23" s="39">
        <f t="shared" si="21"/>
        <v>287066</v>
      </c>
      <c r="J23" s="39">
        <f t="shared" si="21"/>
        <v>284962</v>
      </c>
      <c r="K23" s="39">
        <f t="shared" si="21"/>
        <v>70254</v>
      </c>
      <c r="L23" s="39">
        <f t="shared" si="21"/>
        <v>35017</v>
      </c>
      <c r="M23" s="39">
        <f t="shared" si="21"/>
        <v>275378</v>
      </c>
      <c r="N23" s="31"/>
      <c r="O23" s="39">
        <f t="shared" si="21"/>
        <v>331617</v>
      </c>
      <c r="P23" s="39">
        <f t="shared" si="21"/>
        <v>112820</v>
      </c>
      <c r="Q23" s="31">
        <v>0</v>
      </c>
      <c r="R23" s="39">
        <f>SUM(R22)</f>
        <v>73460</v>
      </c>
      <c r="S23" s="39">
        <f>SUM(S22)</f>
        <v>32250</v>
      </c>
      <c r="T23" s="31"/>
      <c r="U23" s="39">
        <f t="shared" si="21"/>
        <v>1244090</v>
      </c>
      <c r="V23" s="39">
        <f t="shared" si="21"/>
        <v>348152</v>
      </c>
      <c r="W23" s="31"/>
      <c r="X23" s="77"/>
      <c r="Y23" s="78"/>
      <c r="AB23">
        <v>3209341</v>
      </c>
    </row>
    <row r="24" spans="1:34" ht="20.100000000000001" customHeight="1" thickBot="1" x14ac:dyDescent="0.3">
      <c r="A24" s="173"/>
      <c r="B24" s="177"/>
      <c r="C24" s="8" t="s">
        <v>31</v>
      </c>
      <c r="D24" s="33">
        <f>SUM(D22-D19)</f>
        <v>4097</v>
      </c>
      <c r="E24" s="34">
        <f>SUM(E22-E19)</f>
        <v>60482</v>
      </c>
      <c r="F24" s="35">
        <f>SUM(F22-F19)</f>
        <v>673</v>
      </c>
      <c r="G24" s="64">
        <f>SUM(G22-G19)</f>
        <v>82</v>
      </c>
      <c r="H24" s="26">
        <f t="shared" ref="H24:V24" si="22">SUM(H23/10.55/3.6)</f>
        <v>3169.0363349131121</v>
      </c>
      <c r="I24" s="26">
        <f t="shared" si="22"/>
        <v>7558.3464981569241</v>
      </c>
      <c r="J24" s="26">
        <f t="shared" si="22"/>
        <v>7502.948920484464</v>
      </c>
      <c r="K24" s="26">
        <f t="shared" si="22"/>
        <v>1849.7630331753553</v>
      </c>
      <c r="L24" s="26">
        <f t="shared" si="22"/>
        <v>921.98525539757759</v>
      </c>
      <c r="M24" s="26">
        <f t="shared" si="22"/>
        <v>7250.6055818852019</v>
      </c>
      <c r="N24" s="91">
        <f t="shared" ref="N24" si="23">SUM(N22-N19)</f>
        <v>816</v>
      </c>
      <c r="O24" s="26">
        <f t="shared" si="22"/>
        <v>8731.3586097946281</v>
      </c>
      <c r="P24" s="26">
        <f t="shared" si="22"/>
        <v>2970.510795155345</v>
      </c>
      <c r="Q24" s="91">
        <f t="shared" ref="Q24" si="24">SUM(Q22-Q19)</f>
        <v>472</v>
      </c>
      <c r="R24" s="26">
        <f t="shared" si="22"/>
        <v>1934.1758820431805</v>
      </c>
      <c r="S24" s="26">
        <f t="shared" si="22"/>
        <v>849.1311216429699</v>
      </c>
      <c r="T24" s="91">
        <f t="shared" ref="T24" si="25">SUM(T22-T19)</f>
        <v>0</v>
      </c>
      <c r="U24" s="26">
        <f t="shared" si="22"/>
        <v>32756.450763559766</v>
      </c>
      <c r="V24" s="26">
        <f t="shared" si="22"/>
        <v>9166.7193259610303</v>
      </c>
      <c r="W24" s="91">
        <f t="shared" ref="W24" si="26">SUM(W22-W19)</f>
        <v>904</v>
      </c>
      <c r="X24" s="136">
        <f>SUM(X22-X19)</f>
        <v>9311</v>
      </c>
      <c r="Y24" s="51">
        <f>SUM(Y22-Y19)</f>
        <v>0</v>
      </c>
      <c r="AB24" s="152">
        <f>SUM(AB22:AB23)</f>
        <v>3484719.2</v>
      </c>
    </row>
    <row r="25" spans="1:34" ht="20.100000000000001" customHeight="1" x14ac:dyDescent="0.25">
      <c r="A25" s="185"/>
      <c r="B25" s="186">
        <v>2023</v>
      </c>
      <c r="C25" s="46" t="s">
        <v>57</v>
      </c>
      <c r="D25" s="44">
        <v>0</v>
      </c>
      <c r="E25" s="44">
        <v>0</v>
      </c>
      <c r="F25" s="44">
        <v>0</v>
      </c>
      <c r="G25" s="6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>
        <v>0</v>
      </c>
      <c r="N25" s="42">
        <v>0</v>
      </c>
      <c r="O25" s="45">
        <v>0</v>
      </c>
      <c r="P25" s="45">
        <v>0</v>
      </c>
      <c r="Q25" s="42">
        <v>0</v>
      </c>
      <c r="R25" s="45">
        <v>0</v>
      </c>
      <c r="S25" s="45">
        <v>0</v>
      </c>
      <c r="T25" s="42">
        <v>0</v>
      </c>
      <c r="U25" s="45">
        <v>0</v>
      </c>
      <c r="V25" s="45">
        <v>0</v>
      </c>
      <c r="W25" s="42">
        <v>0</v>
      </c>
      <c r="X25" s="47">
        <v>0</v>
      </c>
      <c r="Y25" s="50">
        <v>0</v>
      </c>
    </row>
    <row r="26" spans="1:34" ht="20.100000000000001" customHeight="1" x14ac:dyDescent="0.25">
      <c r="A26" s="172"/>
      <c r="B26" s="176"/>
      <c r="C26" s="12" t="s">
        <v>58</v>
      </c>
      <c r="D26" s="74">
        <v>0</v>
      </c>
      <c r="E26" s="74">
        <v>0</v>
      </c>
      <c r="F26" s="74">
        <v>0</v>
      </c>
      <c r="G26" s="75">
        <v>0</v>
      </c>
      <c r="H26" s="39">
        <f t="shared" ref="H26:V26" si="27">SUM(H25-H22)</f>
        <v>-2527943</v>
      </c>
      <c r="I26" s="39">
        <f t="shared" si="27"/>
        <v>-4732140</v>
      </c>
      <c r="J26" s="39">
        <f t="shared" si="27"/>
        <v>-7147880</v>
      </c>
      <c r="K26" s="39">
        <f t="shared" si="27"/>
        <v>-1472108</v>
      </c>
      <c r="L26" s="39">
        <f t="shared" si="27"/>
        <v>-1256453</v>
      </c>
      <c r="M26" s="39">
        <f t="shared" si="27"/>
        <v>-3484719</v>
      </c>
      <c r="N26" s="31"/>
      <c r="O26" s="39">
        <f t="shared" si="27"/>
        <v>-7215005</v>
      </c>
      <c r="P26" s="39">
        <f t="shared" si="27"/>
        <v>-3026470</v>
      </c>
      <c r="Q26" s="31"/>
      <c r="R26" s="39">
        <f t="shared" si="27"/>
        <v>-73460</v>
      </c>
      <c r="S26" s="39">
        <f t="shared" si="27"/>
        <v>-32250</v>
      </c>
      <c r="T26" s="31"/>
      <c r="U26" s="39">
        <f t="shared" si="27"/>
        <v>-18808890</v>
      </c>
      <c r="V26" s="39">
        <f t="shared" si="27"/>
        <v>-4059550</v>
      </c>
      <c r="W26" s="31"/>
      <c r="X26" s="77"/>
      <c r="Y26" s="78"/>
    </row>
    <row r="27" spans="1:34" ht="20.100000000000001" customHeight="1" thickBot="1" x14ac:dyDescent="0.3">
      <c r="A27" s="174"/>
      <c r="B27" s="178"/>
      <c r="C27" s="7" t="s">
        <v>31</v>
      </c>
      <c r="D27" s="36">
        <f>SUM(D25-D22)</f>
        <v>-1613084</v>
      </c>
      <c r="E27" s="37">
        <f>SUM(E25-E22)</f>
        <v>-982504</v>
      </c>
      <c r="F27" s="52">
        <f>SUM(F25-F22)</f>
        <v>-6841</v>
      </c>
      <c r="G27" s="66">
        <f>SUM(G25-G22)</f>
        <v>-398</v>
      </c>
      <c r="H27" s="27">
        <f t="shared" ref="H27:V27" si="28">SUM(H26/10.55/3.6)</f>
        <v>-66559.847288046338</v>
      </c>
      <c r="I27" s="27">
        <f t="shared" si="28"/>
        <v>-124595.57661927328</v>
      </c>
      <c r="J27" s="27">
        <f t="shared" si="28"/>
        <v>-188201.15850447601</v>
      </c>
      <c r="K27" s="27">
        <f t="shared" si="28"/>
        <v>-38760.084254870977</v>
      </c>
      <c r="L27" s="27">
        <f t="shared" si="28"/>
        <v>-33081.964191679828</v>
      </c>
      <c r="M27" s="27">
        <f t="shared" si="28"/>
        <v>-91751.421800947865</v>
      </c>
      <c r="N27" s="94">
        <f t="shared" ref="N27" si="29">SUM(N25-N22)</f>
        <v>-12050</v>
      </c>
      <c r="O27" s="27">
        <f t="shared" si="28"/>
        <v>-189968.53607161663</v>
      </c>
      <c r="P27" s="27">
        <f t="shared" si="28"/>
        <v>-79685.887309110039</v>
      </c>
      <c r="Q27" s="53">
        <f t="shared" si="28"/>
        <v>0</v>
      </c>
      <c r="R27" s="27">
        <f t="shared" si="28"/>
        <v>-1934.1758820431805</v>
      </c>
      <c r="S27" s="27">
        <f t="shared" si="28"/>
        <v>-849.1311216429699</v>
      </c>
      <c r="T27" s="94">
        <f t="shared" ref="T27" si="30">SUM(T25-T22)</f>
        <v>-1368</v>
      </c>
      <c r="U27" s="27">
        <f t="shared" si="28"/>
        <v>-495231.43759873608</v>
      </c>
      <c r="V27" s="27">
        <f t="shared" si="28"/>
        <v>-106886.51922064243</v>
      </c>
      <c r="W27" s="94">
        <f t="shared" ref="W27" si="31">SUM(W25-W22)</f>
        <v>-10800</v>
      </c>
      <c r="X27" s="137">
        <f>SUM(X25-X22)</f>
        <v>-123353</v>
      </c>
      <c r="Y27" s="95">
        <f>SUM(Y25-Y22)</f>
        <v>0</v>
      </c>
    </row>
    <row r="28" spans="1:34" ht="16.5" thickTop="1" x14ac:dyDescent="0.25">
      <c r="A28" s="3"/>
      <c r="B28" s="3"/>
      <c r="C28" s="3"/>
    </row>
    <row r="29" spans="1:34" ht="16.5" thickBot="1" x14ac:dyDescent="0.3">
      <c r="A29" s="3"/>
      <c r="B29" s="3"/>
      <c r="C29" s="3"/>
      <c r="H29" t="s">
        <v>11</v>
      </c>
      <c r="Z29" t="s">
        <v>11</v>
      </c>
    </row>
    <row r="30" spans="1:34" ht="35.25" customHeight="1" thickTop="1" x14ac:dyDescent="0.25">
      <c r="A30" s="183" t="s">
        <v>12</v>
      </c>
      <c r="B30" s="204" t="s">
        <v>30</v>
      </c>
      <c r="C30" s="4"/>
      <c r="D30" s="206" t="s">
        <v>13</v>
      </c>
      <c r="E30" s="206"/>
      <c r="F30" s="206"/>
      <c r="G30" s="206"/>
      <c r="H30" s="202" t="s">
        <v>14</v>
      </c>
      <c r="I30" s="202"/>
      <c r="J30" s="202"/>
      <c r="K30" s="202"/>
      <c r="L30" s="202"/>
      <c r="M30" s="206" t="s">
        <v>15</v>
      </c>
      <c r="N30" s="206"/>
      <c r="O30" s="206"/>
      <c r="P30" s="202" t="s">
        <v>35</v>
      </c>
      <c r="Q30" s="202"/>
      <c r="R30" s="206" t="s">
        <v>16</v>
      </c>
      <c r="S30" s="206"/>
      <c r="T30" s="206"/>
      <c r="U30" s="206"/>
      <c r="V30" s="202" t="s">
        <v>17</v>
      </c>
      <c r="W30" s="203"/>
      <c r="X30" s="198" t="s">
        <v>34</v>
      </c>
      <c r="Y30" s="200" t="s">
        <v>36</v>
      </c>
    </row>
    <row r="31" spans="1:34" ht="77.25" thickBot="1" x14ac:dyDescent="0.3">
      <c r="A31" s="184"/>
      <c r="B31" s="205"/>
      <c r="C31" s="5"/>
      <c r="D31" s="14" t="s">
        <v>19</v>
      </c>
      <c r="E31" s="89" t="s">
        <v>20</v>
      </c>
      <c r="F31" s="89" t="s">
        <v>73</v>
      </c>
      <c r="G31" s="89" t="s">
        <v>72</v>
      </c>
      <c r="H31" s="15" t="s">
        <v>49</v>
      </c>
      <c r="I31" s="89" t="s">
        <v>50</v>
      </c>
      <c r="J31" s="89" t="s">
        <v>51</v>
      </c>
      <c r="K31" s="89" t="s">
        <v>21</v>
      </c>
      <c r="L31" s="89" t="s">
        <v>74</v>
      </c>
      <c r="M31" s="15" t="s">
        <v>52</v>
      </c>
      <c r="N31" s="15" t="s">
        <v>53</v>
      </c>
      <c r="O31" s="89" t="s">
        <v>22</v>
      </c>
      <c r="P31" s="16" t="s">
        <v>23</v>
      </c>
      <c r="Q31" s="89" t="s">
        <v>24</v>
      </c>
      <c r="R31" s="14" t="s">
        <v>54</v>
      </c>
      <c r="S31" s="2" t="s">
        <v>75</v>
      </c>
      <c r="T31" s="89" t="s">
        <v>8</v>
      </c>
      <c r="U31" s="89" t="s">
        <v>76</v>
      </c>
      <c r="V31" s="15" t="s">
        <v>55</v>
      </c>
      <c r="W31" s="90" t="s">
        <v>77</v>
      </c>
      <c r="X31" s="199"/>
      <c r="Y31" s="201"/>
    </row>
    <row r="32" spans="1:34" ht="15.75" customHeight="1" thickTop="1" x14ac:dyDescent="0.25">
      <c r="A32" s="181"/>
      <c r="B32" s="182">
        <f>B6</f>
        <v>2017</v>
      </c>
      <c r="C32" s="179" t="s">
        <v>56</v>
      </c>
      <c r="D32" s="55">
        <v>87350</v>
      </c>
      <c r="E32" s="55">
        <v>261</v>
      </c>
      <c r="F32" s="55">
        <v>0</v>
      </c>
      <c r="G32" s="56">
        <v>0</v>
      </c>
      <c r="H32" s="56">
        <v>6687820</v>
      </c>
      <c r="I32" s="56">
        <v>1393974</v>
      </c>
      <c r="J32" s="56">
        <v>1410220</v>
      </c>
      <c r="K32" s="56">
        <v>4938</v>
      </c>
      <c r="L32" s="56">
        <v>605</v>
      </c>
      <c r="M32" s="56">
        <v>1988760</v>
      </c>
      <c r="N32" s="56">
        <v>1867800</v>
      </c>
      <c r="O32" s="56">
        <v>4919</v>
      </c>
      <c r="P32" s="56">
        <v>-9750</v>
      </c>
      <c r="Q32" s="56">
        <v>234</v>
      </c>
      <c r="R32" s="56">
        <v>3688140</v>
      </c>
      <c r="S32" s="56">
        <v>515270</v>
      </c>
      <c r="T32" s="56">
        <v>1898</v>
      </c>
      <c r="U32" s="56">
        <v>1525</v>
      </c>
      <c r="V32" s="56">
        <v>47800</v>
      </c>
      <c r="W32" s="57">
        <v>0</v>
      </c>
      <c r="X32" s="28"/>
      <c r="Y32" s="132"/>
    </row>
    <row r="33" spans="1:29" x14ac:dyDescent="0.25">
      <c r="A33" s="172"/>
      <c r="B33" s="176"/>
      <c r="C33" s="180"/>
      <c r="D33" s="58">
        <v>99581</v>
      </c>
      <c r="E33" s="126">
        <v>10</v>
      </c>
      <c r="F33" s="58">
        <v>0</v>
      </c>
      <c r="G33" s="58">
        <v>0</v>
      </c>
      <c r="H33" s="58">
        <v>7246770</v>
      </c>
      <c r="I33" s="58">
        <v>1513150</v>
      </c>
      <c r="J33" s="58">
        <v>1567000</v>
      </c>
      <c r="K33" s="58">
        <v>5645</v>
      </c>
      <c r="L33" s="58">
        <v>1165</v>
      </c>
      <c r="M33" s="58">
        <v>2104180</v>
      </c>
      <c r="N33" s="58">
        <v>1990430</v>
      </c>
      <c r="O33" s="58">
        <v>5465</v>
      </c>
      <c r="P33" s="58">
        <v>7398</v>
      </c>
      <c r="Q33" s="58">
        <v>276</v>
      </c>
      <c r="R33" s="58">
        <v>4046250</v>
      </c>
      <c r="S33" s="58">
        <v>573680</v>
      </c>
      <c r="T33" s="58">
        <v>2190</v>
      </c>
      <c r="U33" s="58">
        <v>3111</v>
      </c>
      <c r="V33" s="58">
        <v>99197</v>
      </c>
      <c r="W33" s="59">
        <v>0</v>
      </c>
      <c r="X33" s="29"/>
      <c r="Y33" s="133"/>
    </row>
    <row r="34" spans="1:29" ht="20.100000000000001" customHeight="1" x14ac:dyDescent="0.25">
      <c r="A34" s="172"/>
      <c r="B34" s="176"/>
      <c r="C34" s="25" t="s">
        <v>58</v>
      </c>
      <c r="D34" s="96"/>
      <c r="E34" s="97"/>
      <c r="F34" s="97"/>
      <c r="G34" s="97"/>
      <c r="H34" s="98">
        <f>SUM(H33-H32)</f>
        <v>558950</v>
      </c>
      <c r="I34" s="99">
        <f t="shared" ref="I34:W34" si="32">SUM(I33-I32)</f>
        <v>119176</v>
      </c>
      <c r="J34" s="99">
        <f t="shared" si="32"/>
        <v>156780</v>
      </c>
      <c r="K34" s="97"/>
      <c r="L34" s="97"/>
      <c r="M34" s="98">
        <f t="shared" si="32"/>
        <v>115420</v>
      </c>
      <c r="N34" s="98">
        <f t="shared" si="32"/>
        <v>122630</v>
      </c>
      <c r="O34" s="97"/>
      <c r="P34" s="97"/>
      <c r="Q34" s="97"/>
      <c r="R34" s="100">
        <f t="shared" si="32"/>
        <v>358110</v>
      </c>
      <c r="S34" s="99">
        <f t="shared" si="32"/>
        <v>58410</v>
      </c>
      <c r="T34" s="97"/>
      <c r="U34" s="97"/>
      <c r="V34" s="98">
        <f t="shared" si="32"/>
        <v>51397</v>
      </c>
      <c r="W34" s="99">
        <f t="shared" si="32"/>
        <v>0</v>
      </c>
      <c r="X34" s="164">
        <f>SUM(H9+I9+J9+K9+L9+M9+O9+P9+R9+S9+U9+V9+H35+M35+N35+V35)</f>
        <v>159619.06793048969</v>
      </c>
      <c r="Y34" s="161">
        <f>SUM(D9+E9+X9+D35+R35)</f>
        <v>231961.90995260663</v>
      </c>
    </row>
    <row r="35" spans="1:29" ht="20.100000000000001" customHeight="1" thickBot="1" x14ac:dyDescent="0.3">
      <c r="A35" s="172"/>
      <c r="B35" s="176"/>
      <c r="C35" s="8" t="s">
        <v>31</v>
      </c>
      <c r="D35" s="22">
        <f>SUM(D33-D32)</f>
        <v>12231</v>
      </c>
      <c r="E35" s="127">
        <f>SUM(E33-E32)</f>
        <v>-251</v>
      </c>
      <c r="F35" s="93">
        <f>SUM(D35/5)*4</f>
        <v>9784.7999999999993</v>
      </c>
      <c r="G35" s="93">
        <f>SUM(D35/5)</f>
        <v>2446.1999999999998</v>
      </c>
      <c r="H35" s="19">
        <f t="shared" ref="H35:W35" si="33">SUM(H34/10.55/3.6)</f>
        <v>14716.956292785675</v>
      </c>
      <c r="I35" s="48">
        <f t="shared" si="33"/>
        <v>3137.8620326487626</v>
      </c>
      <c r="J35" s="48">
        <f t="shared" si="33"/>
        <v>4127.9620853080569</v>
      </c>
      <c r="K35" s="93">
        <f>SUM(K33-K32)</f>
        <v>707</v>
      </c>
      <c r="L35" s="48">
        <f>SUM(L33-L32)</f>
        <v>560</v>
      </c>
      <c r="M35" s="19">
        <f t="shared" si="33"/>
        <v>3038.9678778304369</v>
      </c>
      <c r="N35" s="19">
        <f t="shared" si="33"/>
        <v>3228.8046340179039</v>
      </c>
      <c r="O35" s="93">
        <f>SUM(O33-O32)</f>
        <v>546</v>
      </c>
      <c r="P35" s="17">
        <f>SUM(P33-P32)</f>
        <v>17148</v>
      </c>
      <c r="Q35" s="93">
        <f>SUM(Q33-Q32)</f>
        <v>42</v>
      </c>
      <c r="R35" s="22">
        <f t="shared" si="33"/>
        <v>9428.9099526066329</v>
      </c>
      <c r="S35" s="48">
        <f t="shared" si="33"/>
        <v>1537.9146919431278</v>
      </c>
      <c r="T35" s="93">
        <f>SUM(T33-T32)</f>
        <v>292</v>
      </c>
      <c r="U35" s="93">
        <f>SUM(R35-S35)/5</f>
        <v>1578.1990521327011</v>
      </c>
      <c r="V35" s="19">
        <f>SUM(V34/10.55)</f>
        <v>4871.7535545023693</v>
      </c>
      <c r="W35" s="48">
        <f t="shared" si="33"/>
        <v>0</v>
      </c>
      <c r="X35" s="164"/>
      <c r="Y35" s="161"/>
    </row>
    <row r="36" spans="1:29" ht="20.100000000000001" customHeight="1" x14ac:dyDescent="0.25">
      <c r="A36" s="171"/>
      <c r="B36" s="175">
        <f>B10</f>
        <v>2018</v>
      </c>
      <c r="C36" s="46" t="s">
        <v>57</v>
      </c>
      <c r="D36" s="101">
        <v>10981</v>
      </c>
      <c r="E36" s="101">
        <v>25</v>
      </c>
      <c r="F36" s="105">
        <v>0</v>
      </c>
      <c r="G36" s="105">
        <v>0</v>
      </c>
      <c r="H36" s="45">
        <v>7692810</v>
      </c>
      <c r="I36" s="45">
        <v>1634110</v>
      </c>
      <c r="J36" s="45">
        <v>1723492</v>
      </c>
      <c r="K36" s="105">
        <v>6365</v>
      </c>
      <c r="L36" s="105">
        <v>0</v>
      </c>
      <c r="M36" s="143">
        <v>2039923.6</v>
      </c>
      <c r="N36" s="45">
        <v>2092490</v>
      </c>
      <c r="O36" s="144">
        <v>6065</v>
      </c>
      <c r="P36" s="45">
        <v>17532</v>
      </c>
      <c r="Q36" s="105">
        <v>314</v>
      </c>
      <c r="R36" s="45">
        <v>4394010</v>
      </c>
      <c r="S36" s="45">
        <v>626978</v>
      </c>
      <c r="T36" s="105">
        <v>2475</v>
      </c>
      <c r="U36" s="105">
        <v>0</v>
      </c>
      <c r="V36" s="105">
        <v>144917</v>
      </c>
      <c r="W36" s="102">
        <v>0</v>
      </c>
      <c r="X36" s="163">
        <f>SUM(H12+I12+J12+K12+L12+M12+O12+P12+R12+S12+U12+V12+H38+M38+N38+V38)</f>
        <v>86428.367561874664</v>
      </c>
      <c r="Y36" s="160">
        <f>SUM(D12+E12+X12+D38+R38)</f>
        <v>168973.39810426539</v>
      </c>
    </row>
    <row r="37" spans="1:29" ht="20.100000000000001" customHeight="1" x14ac:dyDescent="0.25">
      <c r="A37" s="172"/>
      <c r="B37" s="176"/>
      <c r="C37" s="12" t="s">
        <v>58</v>
      </c>
      <c r="D37" s="69"/>
      <c r="E37" s="69"/>
      <c r="F37" s="70"/>
      <c r="G37" s="71"/>
      <c r="H37" s="20">
        <f>SUM(H36-H33)</f>
        <v>446040</v>
      </c>
      <c r="I37" s="10">
        <f>SUM(I36-I33)</f>
        <v>120960</v>
      </c>
      <c r="J37" s="119">
        <f>SUM(J36-J33)</f>
        <v>156492</v>
      </c>
      <c r="K37" s="70"/>
      <c r="L37" s="70"/>
      <c r="M37" s="20">
        <f>SUM(M36-M33)</f>
        <v>-64256.399999999907</v>
      </c>
      <c r="N37" s="20">
        <f>SUM(N36-N33)</f>
        <v>102060</v>
      </c>
      <c r="O37" s="70"/>
      <c r="P37" s="69"/>
      <c r="Q37" s="70"/>
      <c r="R37" s="23">
        <f>SUM(R36-R33)</f>
        <v>347760</v>
      </c>
      <c r="S37" s="10">
        <f>SUM(S36-S33)</f>
        <v>53298</v>
      </c>
      <c r="T37" s="70"/>
      <c r="U37" s="70"/>
      <c r="V37" s="130">
        <f>SUM(V36-V33)</f>
        <v>45720</v>
      </c>
      <c r="W37" s="11">
        <v>0</v>
      </c>
      <c r="X37" s="164"/>
      <c r="Y37" s="161"/>
    </row>
    <row r="38" spans="1:29" ht="20.100000000000001" customHeight="1" thickBot="1" x14ac:dyDescent="0.3">
      <c r="A38" s="173"/>
      <c r="B38" s="177"/>
      <c r="C38" s="8" t="s">
        <v>31</v>
      </c>
      <c r="D38" s="22">
        <f>SUM(D36+100000)-D33</f>
        <v>11400</v>
      </c>
      <c r="E38" s="48">
        <f>SUM(E36-E33)</f>
        <v>15</v>
      </c>
      <c r="F38" s="93">
        <f>SUM(D38/5)*4</f>
        <v>9120</v>
      </c>
      <c r="G38" s="93">
        <f>SUM(D38/5)</f>
        <v>2280</v>
      </c>
      <c r="H38" s="19">
        <f t="shared" ref="H38:W38" si="34">SUM(H37/10.55/3.6)</f>
        <v>11744.075829383886</v>
      </c>
      <c r="I38" s="48">
        <f t="shared" si="34"/>
        <v>3184.8341232227485</v>
      </c>
      <c r="J38" s="48">
        <f t="shared" si="34"/>
        <v>4120.3791469194312</v>
      </c>
      <c r="K38" s="93">
        <f>SUM(K36-K33)</f>
        <v>720</v>
      </c>
      <c r="L38" s="48">
        <f>SUM(I38/5)</f>
        <v>636.96682464454966</v>
      </c>
      <c r="M38" s="19">
        <f t="shared" si="34"/>
        <v>-1691.8483412322248</v>
      </c>
      <c r="N38" s="19">
        <f t="shared" si="34"/>
        <v>2687.2037914691941</v>
      </c>
      <c r="O38" s="93">
        <f>SUM(O36-O33)</f>
        <v>600</v>
      </c>
      <c r="P38" s="17">
        <f>SUM(P36-P33)</f>
        <v>10134</v>
      </c>
      <c r="Q38" s="93">
        <f>SUM(Q36-Q33)</f>
        <v>38</v>
      </c>
      <c r="R38" s="22">
        <f t="shared" si="34"/>
        <v>9156.3981042654032</v>
      </c>
      <c r="S38" s="48">
        <f t="shared" si="34"/>
        <v>1403.3175355450235</v>
      </c>
      <c r="T38" s="93">
        <f>SUM(T36-T33)</f>
        <v>285</v>
      </c>
      <c r="U38" s="93">
        <f>SUM(R38-S38)/5</f>
        <v>1550.6161137440758</v>
      </c>
      <c r="V38" s="131">
        <f>SUM(V37/10.55)</f>
        <v>4333.649289099526</v>
      </c>
      <c r="W38" s="48">
        <f t="shared" si="34"/>
        <v>0</v>
      </c>
      <c r="X38" s="166"/>
      <c r="Y38" s="168"/>
    </row>
    <row r="39" spans="1:29" ht="20.100000000000001" customHeight="1" x14ac:dyDescent="0.25">
      <c r="A39" s="171"/>
      <c r="B39" s="175">
        <f>B13</f>
        <v>2019</v>
      </c>
      <c r="C39" s="46" t="s">
        <v>57</v>
      </c>
      <c r="D39" s="101">
        <v>21946</v>
      </c>
      <c r="E39" s="101">
        <v>39</v>
      </c>
      <c r="F39" s="105">
        <v>9150</v>
      </c>
      <c r="G39" s="105">
        <v>0</v>
      </c>
      <c r="H39" s="45">
        <v>8328800</v>
      </c>
      <c r="I39" s="45">
        <v>1769500</v>
      </c>
      <c r="J39" s="45">
        <v>1878900</v>
      </c>
      <c r="K39" s="105">
        <v>7075</v>
      </c>
      <c r="L39" s="105">
        <v>0</v>
      </c>
      <c r="M39" s="45">
        <v>2192710</v>
      </c>
      <c r="N39" s="45">
        <v>2216800</v>
      </c>
      <c r="O39" s="144">
        <v>6605</v>
      </c>
      <c r="P39" s="145">
        <v>19975</v>
      </c>
      <c r="Q39" s="105">
        <v>355</v>
      </c>
      <c r="R39" s="45">
        <v>4750200</v>
      </c>
      <c r="S39" s="45">
        <v>673810</v>
      </c>
      <c r="T39" s="105">
        <v>2745</v>
      </c>
      <c r="U39" s="105">
        <v>0</v>
      </c>
      <c r="V39" s="105">
        <v>175810</v>
      </c>
      <c r="W39" s="102">
        <v>0</v>
      </c>
      <c r="X39" s="163">
        <f>SUM(H15+I15+J15+K15+L15+M15+O15+P15+R15+S15+U15+V15+H41+M41+N41+V41)</f>
        <v>139758.75197472353</v>
      </c>
      <c r="Y39" s="160">
        <f>SUM(D15+E15+X15+D41+R41)</f>
        <v>132689.35703001579</v>
      </c>
    </row>
    <row r="40" spans="1:29" ht="20.100000000000001" customHeight="1" x14ac:dyDescent="0.25">
      <c r="A40" s="172"/>
      <c r="B40" s="176"/>
      <c r="C40" s="12" t="s">
        <v>58</v>
      </c>
      <c r="D40" s="69"/>
      <c r="E40" s="69"/>
      <c r="F40" s="70"/>
      <c r="G40" s="71"/>
      <c r="H40" s="20">
        <f>SUM(H39-H36)</f>
        <v>635990</v>
      </c>
      <c r="I40" s="141">
        <f>SUM(I39-I36)</f>
        <v>135390</v>
      </c>
      <c r="J40" s="141">
        <f>SUM(J39-J36)</f>
        <v>155408</v>
      </c>
      <c r="K40" s="70"/>
      <c r="L40" s="70"/>
      <c r="M40" s="20">
        <f>SUM(M39-M36)</f>
        <v>152786.39999999991</v>
      </c>
      <c r="N40" s="20">
        <f>SUM(N39-N36)</f>
        <v>124310</v>
      </c>
      <c r="O40" s="70"/>
      <c r="P40" s="69"/>
      <c r="Q40" s="70"/>
      <c r="R40" s="23">
        <f>SUM(R39-R36)</f>
        <v>356190</v>
      </c>
      <c r="S40" s="23">
        <f>SUM(S39-S36)</f>
        <v>46832</v>
      </c>
      <c r="T40" s="70"/>
      <c r="U40" s="70"/>
      <c r="V40" s="130">
        <f t="shared" ref="V40" si="35">SUM(V39-V36)</f>
        <v>30893</v>
      </c>
      <c r="W40" s="11">
        <v>0</v>
      </c>
      <c r="X40" s="164"/>
      <c r="Y40" s="161"/>
    </row>
    <row r="41" spans="1:29" ht="20.100000000000001" customHeight="1" thickBot="1" x14ac:dyDescent="0.3">
      <c r="A41" s="173"/>
      <c r="B41" s="177"/>
      <c r="C41" s="8" t="s">
        <v>31</v>
      </c>
      <c r="D41" s="22">
        <f>SUM(D39-D36)</f>
        <v>10965</v>
      </c>
      <c r="E41" s="48">
        <f>SUM(E39-E36)</f>
        <v>14</v>
      </c>
      <c r="F41" s="93">
        <f t="shared" ref="F41" si="36">SUM(D41/5)*4</f>
        <v>8772</v>
      </c>
      <c r="G41" s="93">
        <f t="shared" ref="G41" si="37">SUM(D41/5)</f>
        <v>2193</v>
      </c>
      <c r="H41" s="19">
        <f t="shared" ref="H41:N41" si="38">SUM(H40/10.55/3.6)</f>
        <v>16745.39231174302</v>
      </c>
      <c r="I41" s="48">
        <f t="shared" si="38"/>
        <v>3564.7709320695099</v>
      </c>
      <c r="J41" s="48">
        <f t="shared" si="38"/>
        <v>4091.8378093733536</v>
      </c>
      <c r="K41" s="93">
        <f t="shared" ref="K41" si="39">SUM(K39-K36)</f>
        <v>710</v>
      </c>
      <c r="L41" s="48">
        <f t="shared" ref="L41" si="40">SUM(I41/5)</f>
        <v>712.95418641390199</v>
      </c>
      <c r="M41" s="19">
        <f t="shared" si="38"/>
        <v>4022.8120063191127</v>
      </c>
      <c r="N41" s="19">
        <f t="shared" si="38"/>
        <v>3273.0384412848862</v>
      </c>
      <c r="O41" s="93">
        <f t="shared" ref="O41" si="41">SUM(O39-O36)</f>
        <v>540</v>
      </c>
      <c r="P41" s="17">
        <f>SUM(P39-P36)</f>
        <v>2443</v>
      </c>
      <c r="Q41" s="93">
        <f t="shared" ref="Q41" si="42">SUM(Q39-Q36)</f>
        <v>41</v>
      </c>
      <c r="R41" s="22">
        <f t="shared" ref="R41:W41" si="43">SUM(R40/10.55/3.6)</f>
        <v>9378.3570300157971</v>
      </c>
      <c r="S41" s="48">
        <f t="shared" si="43"/>
        <v>1233.070036861506</v>
      </c>
      <c r="T41" s="93">
        <f t="shared" ref="T41" si="44">SUM(T39-T36)</f>
        <v>270</v>
      </c>
      <c r="U41" s="93">
        <f>SUM(R41-S41)/5</f>
        <v>1629.0573986308582</v>
      </c>
      <c r="V41" s="19">
        <f t="shared" ref="V41" si="45">SUM(V40/10.55)</f>
        <v>2928.2464454976302</v>
      </c>
      <c r="W41" s="48">
        <f t="shared" si="43"/>
        <v>0</v>
      </c>
      <c r="X41" s="166"/>
      <c r="Y41" s="168"/>
    </row>
    <row r="42" spans="1:29" ht="20.100000000000001" customHeight="1" x14ac:dyDescent="0.25">
      <c r="A42" s="171"/>
      <c r="B42" s="175">
        <f>B16</f>
        <v>2020</v>
      </c>
      <c r="C42" s="46" t="s">
        <v>57</v>
      </c>
      <c r="D42" s="101">
        <v>32256</v>
      </c>
      <c r="E42" s="101">
        <v>43</v>
      </c>
      <c r="F42" s="105">
        <v>0</v>
      </c>
      <c r="G42" s="105">
        <v>0</v>
      </c>
      <c r="H42" s="45">
        <v>8897990</v>
      </c>
      <c r="I42" s="45">
        <v>1885547</v>
      </c>
      <c r="J42" s="45">
        <v>2013310</v>
      </c>
      <c r="K42" s="105">
        <v>7669</v>
      </c>
      <c r="L42" s="105">
        <v>0</v>
      </c>
      <c r="M42" s="45">
        <v>2192770</v>
      </c>
      <c r="N42" s="45">
        <v>2216800</v>
      </c>
      <c r="O42" s="105">
        <v>7136</v>
      </c>
      <c r="P42" s="142">
        <v>20450</v>
      </c>
      <c r="Q42" s="105">
        <v>323</v>
      </c>
      <c r="R42" s="45">
        <v>5100810</v>
      </c>
      <c r="S42" s="45">
        <v>731019</v>
      </c>
      <c r="T42" s="105">
        <v>3028</v>
      </c>
      <c r="U42" s="105">
        <v>0</v>
      </c>
      <c r="V42" s="105">
        <v>208979</v>
      </c>
      <c r="W42" s="102">
        <v>0</v>
      </c>
      <c r="X42" s="163">
        <f>SUM(H18+I18+J18+K18+L18+M18+O18+P18+R18+S18+U18+V18+H44+M44+N44+V44)</f>
        <v>181996.21906266449</v>
      </c>
      <c r="Y42" s="160">
        <f>SUM(D18+E18+X18+D44+R44)</f>
        <v>100644.43759873617</v>
      </c>
      <c r="AC42" s="1"/>
    </row>
    <row r="43" spans="1:29" ht="20.100000000000001" customHeight="1" x14ac:dyDescent="0.25">
      <c r="A43" s="172"/>
      <c r="B43" s="176"/>
      <c r="C43" s="12" t="s">
        <v>58</v>
      </c>
      <c r="D43" s="69"/>
      <c r="E43" s="69"/>
      <c r="F43" s="70"/>
      <c r="G43" s="71"/>
      <c r="H43" s="20">
        <f>SUM(H42-H39)</f>
        <v>569190</v>
      </c>
      <c r="I43" s="141">
        <f>SUM(I42-I39)</f>
        <v>116047</v>
      </c>
      <c r="J43" s="141">
        <f>SUM(J42-J39)</f>
        <v>134410</v>
      </c>
      <c r="K43" s="70"/>
      <c r="L43" s="70"/>
      <c r="M43" s="20">
        <f>SUM(M42-M39)</f>
        <v>60</v>
      </c>
      <c r="N43" s="20">
        <f>SUM(N42-N39)</f>
        <v>0</v>
      </c>
      <c r="O43" s="70"/>
      <c r="P43" s="69"/>
      <c r="Q43" s="70"/>
      <c r="R43" s="23">
        <f>SUM(R42-R39)</f>
        <v>350610</v>
      </c>
      <c r="S43" s="23">
        <f>SUM(S42-S39)</f>
        <v>57209</v>
      </c>
      <c r="T43" s="70"/>
      <c r="U43" s="70"/>
      <c r="V43" s="130">
        <f t="shared" ref="V43" si="46">SUM(V42-V39)</f>
        <v>33169</v>
      </c>
      <c r="W43" s="11">
        <v>0</v>
      </c>
      <c r="X43" s="164"/>
      <c r="Y43" s="161"/>
      <c r="AA43" t="s">
        <v>11</v>
      </c>
    </row>
    <row r="44" spans="1:29" ht="20.100000000000001" customHeight="1" thickBot="1" x14ac:dyDescent="0.3">
      <c r="A44" s="173"/>
      <c r="B44" s="177"/>
      <c r="C44" s="8" t="s">
        <v>31</v>
      </c>
      <c r="D44" s="22">
        <f>SUM(D42-D39)</f>
        <v>10310</v>
      </c>
      <c r="E44" s="48">
        <f t="shared" ref="E44" si="47">SUM(E42-E39)</f>
        <v>4</v>
      </c>
      <c r="F44" s="93">
        <f t="shared" ref="F44" si="48">SUM(D44/5)*4</f>
        <v>8248</v>
      </c>
      <c r="G44" s="93">
        <f t="shared" ref="G44" si="49">SUM(D44/5)</f>
        <v>2062</v>
      </c>
      <c r="H44" s="19">
        <f t="shared" ref="H44" si="50">SUM(H43/10.55/3.6)</f>
        <v>14986.571879936808</v>
      </c>
      <c r="I44" s="48">
        <f t="shared" ref="I44:J44" si="51">SUM(I43/10.55/3.6)</f>
        <v>3055.476566614007</v>
      </c>
      <c r="J44" s="48">
        <f t="shared" si="51"/>
        <v>3538.9678778304369</v>
      </c>
      <c r="K44" s="93">
        <f t="shared" ref="K44" si="52">SUM(K42-K39)</f>
        <v>594</v>
      </c>
      <c r="L44" s="48">
        <f t="shared" ref="L44" si="53">SUM(I44/5)</f>
        <v>611.09531332280142</v>
      </c>
      <c r="M44" s="19">
        <f t="shared" ref="M44:N44" si="54">SUM(M43/10.55/3.6)</f>
        <v>1.5797788309636649</v>
      </c>
      <c r="N44" s="19">
        <f t="shared" si="54"/>
        <v>0</v>
      </c>
      <c r="O44" s="93">
        <f t="shared" ref="O44" si="55">SUM(O42-O39)</f>
        <v>531</v>
      </c>
      <c r="P44" s="17">
        <f>SUM(P42-P39)</f>
        <v>475</v>
      </c>
      <c r="Q44" s="93">
        <f t="shared" ref="Q44" si="56">SUM(Q42-Q39)</f>
        <v>-32</v>
      </c>
      <c r="R44" s="22">
        <f t="shared" ref="R44:S44" si="57">SUM(R43/10.55/3.6)</f>
        <v>9231.4375987361764</v>
      </c>
      <c r="S44" s="48">
        <f t="shared" si="57"/>
        <v>1506.2927856766719</v>
      </c>
      <c r="T44" s="93">
        <f t="shared" ref="T44" si="58">SUM(T42-T39)</f>
        <v>283</v>
      </c>
      <c r="U44" s="93">
        <f t="shared" ref="U44" si="59">SUM(R44-S44)/5</f>
        <v>1545.0289626119009</v>
      </c>
      <c r="V44" s="19">
        <f t="shared" ref="V44" si="60">SUM(V43/10.55)</f>
        <v>3143.9810426540284</v>
      </c>
      <c r="W44" s="48">
        <f t="shared" ref="W44" si="61">SUM(W43/10.55/3.6)</f>
        <v>0</v>
      </c>
      <c r="X44" s="166"/>
      <c r="Y44" s="168"/>
    </row>
    <row r="45" spans="1:29" ht="20.100000000000001" customHeight="1" x14ac:dyDescent="0.25">
      <c r="A45" s="171"/>
      <c r="B45" s="175">
        <f>B19</f>
        <v>2021</v>
      </c>
      <c r="C45" s="46" t="s">
        <v>57</v>
      </c>
      <c r="D45" s="101">
        <v>44225</v>
      </c>
      <c r="E45" s="101">
        <v>58</v>
      </c>
      <c r="F45" s="105">
        <v>0</v>
      </c>
      <c r="G45" s="105">
        <v>0</v>
      </c>
      <c r="H45" s="45">
        <v>9582478</v>
      </c>
      <c r="I45" s="45">
        <v>1988683</v>
      </c>
      <c r="J45" s="45">
        <v>2146784</v>
      </c>
      <c r="K45" s="105">
        <v>8241</v>
      </c>
      <c r="L45" s="105">
        <v>0</v>
      </c>
      <c r="M45" s="45">
        <v>2193156</v>
      </c>
      <c r="N45" s="45">
        <v>2217186</v>
      </c>
      <c r="O45" s="105">
        <v>7636</v>
      </c>
      <c r="P45" s="101">
        <v>21637</v>
      </c>
      <c r="Q45" s="105">
        <v>397</v>
      </c>
      <c r="R45" s="45">
        <v>5498537</v>
      </c>
      <c r="S45" s="45">
        <v>794938</v>
      </c>
      <c r="T45" s="105">
        <v>3287</v>
      </c>
      <c r="U45" s="105">
        <v>0</v>
      </c>
      <c r="V45" s="105">
        <v>245934.38</v>
      </c>
      <c r="W45" s="102">
        <v>0</v>
      </c>
      <c r="X45" s="163">
        <f>SUM(H21+I21+J21+K21+L21+M21+O21+P21+R21+S21+U21+V21+H47+M47+N47+V47)</f>
        <v>120996.92912058978</v>
      </c>
      <c r="Y45" s="160">
        <f>SUM(D21+E21+X21+D47+R47)</f>
        <v>107013.01158504476</v>
      </c>
    </row>
    <row r="46" spans="1:29" ht="20.100000000000001" customHeight="1" x14ac:dyDescent="0.25">
      <c r="A46" s="172"/>
      <c r="B46" s="176"/>
      <c r="C46" s="12" t="s">
        <v>58</v>
      </c>
      <c r="D46" s="69"/>
      <c r="E46" s="69"/>
      <c r="F46" s="70"/>
      <c r="G46" s="71"/>
      <c r="H46" s="20">
        <f>SUM(H45-H42)</f>
        <v>684488</v>
      </c>
      <c r="I46" s="146">
        <f t="shared" ref="I46:J46" si="62">SUM(I45-I42)</f>
        <v>103136</v>
      </c>
      <c r="J46" s="146">
        <f t="shared" si="62"/>
        <v>133474</v>
      </c>
      <c r="K46" s="70"/>
      <c r="L46" s="70"/>
      <c r="M46" s="20">
        <f t="shared" ref="M46" si="63">SUM(M45-M42)</f>
        <v>386</v>
      </c>
      <c r="N46" s="20">
        <f>SUM(N45-N42)</f>
        <v>386</v>
      </c>
      <c r="O46" s="70"/>
      <c r="P46" s="69"/>
      <c r="Q46" s="70"/>
      <c r="R46" s="23">
        <f>SUM(R45-R42)</f>
        <v>397727</v>
      </c>
      <c r="S46" s="23">
        <f t="shared" ref="S46" si="64">SUM(S45-S42)</f>
        <v>63919</v>
      </c>
      <c r="T46" s="70"/>
      <c r="U46" s="70"/>
      <c r="V46" s="130">
        <f t="shared" ref="V46" si="65">SUM(V45-V42)</f>
        <v>36955.380000000005</v>
      </c>
      <c r="W46" s="11">
        <v>0</v>
      </c>
      <c r="X46" s="164"/>
      <c r="Y46" s="161"/>
      <c r="AA46" t="s">
        <v>11</v>
      </c>
    </row>
    <row r="47" spans="1:29" ht="20.100000000000001" customHeight="1" thickBot="1" x14ac:dyDescent="0.3">
      <c r="A47" s="173"/>
      <c r="B47" s="177"/>
      <c r="C47" s="8" t="s">
        <v>31</v>
      </c>
      <c r="D47" s="22">
        <f>SUM(D45-D42)</f>
        <v>11969</v>
      </c>
      <c r="E47" s="48">
        <f t="shared" ref="E47" si="66">SUM(E45-E42)</f>
        <v>15</v>
      </c>
      <c r="F47" s="93">
        <f t="shared" ref="F47" si="67">SUM(D47/5)*4</f>
        <v>9575.2000000000007</v>
      </c>
      <c r="G47" s="93">
        <f t="shared" ref="G47" si="68">SUM(D47/5)</f>
        <v>2393.8000000000002</v>
      </c>
      <c r="H47" s="19">
        <f t="shared" ref="H47" si="69">SUM(H46/10.55/3.6)</f>
        <v>18022.327540810951</v>
      </c>
      <c r="I47" s="48">
        <f t="shared" ref="I47:N47" si="70">SUM(I46/10.55/3.6)</f>
        <v>2715.5344918378091</v>
      </c>
      <c r="J47" s="48">
        <f t="shared" si="70"/>
        <v>3514.3233280674035</v>
      </c>
      <c r="K47" s="93">
        <f t="shared" ref="K47" si="71">SUM(K45-K42)</f>
        <v>572</v>
      </c>
      <c r="L47" s="48">
        <f t="shared" ref="L47" si="72">SUM(I47/5)</f>
        <v>543.10689836756183</v>
      </c>
      <c r="M47" s="19">
        <f t="shared" ref="M47" si="73">SUM(M46/10.55/3.6)</f>
        <v>10.163243812532912</v>
      </c>
      <c r="N47" s="19">
        <f t="shared" si="70"/>
        <v>10.163243812532912</v>
      </c>
      <c r="O47" s="93">
        <f t="shared" ref="O47" si="74">SUM(O45-O42)</f>
        <v>500</v>
      </c>
      <c r="P47" s="17">
        <f>SUM(P45-P42)</f>
        <v>1187</v>
      </c>
      <c r="Q47" s="93">
        <f t="shared" ref="Q47" si="75">SUM(Q45-Q42)</f>
        <v>74</v>
      </c>
      <c r="R47" s="22">
        <f t="shared" ref="R47" si="76">SUM(R46/10.55/3.6)</f>
        <v>10472.01158504476</v>
      </c>
      <c r="S47" s="48">
        <f t="shared" ref="S47:W47" si="77">SUM(S46/10.55/3.6)</f>
        <v>1682.9647182727749</v>
      </c>
      <c r="T47" s="93">
        <f t="shared" ref="T47" si="78">SUM(T45-T42)</f>
        <v>259</v>
      </c>
      <c r="U47" s="93">
        <f t="shared" ref="U47" si="79">SUM(R47-S47)/5</f>
        <v>1757.8093733543969</v>
      </c>
      <c r="V47" s="19">
        <f t="shared" ref="V47" si="80">SUM(V46/10.55)</f>
        <v>3502.8796208530807</v>
      </c>
      <c r="W47" s="48">
        <f t="shared" si="77"/>
        <v>0</v>
      </c>
      <c r="X47" s="166"/>
      <c r="Y47" s="168"/>
    </row>
    <row r="48" spans="1:29" ht="20.100000000000001" customHeight="1" x14ac:dyDescent="0.25">
      <c r="A48" s="171"/>
      <c r="B48" s="175">
        <f>B22</f>
        <v>2022</v>
      </c>
      <c r="C48" s="46" t="s">
        <v>57</v>
      </c>
      <c r="D48" s="101">
        <v>54439</v>
      </c>
      <c r="E48" s="101">
        <v>82</v>
      </c>
      <c r="F48" s="105">
        <v>0</v>
      </c>
      <c r="G48" s="105">
        <v>0</v>
      </c>
      <c r="H48" s="101">
        <v>10162840</v>
      </c>
      <c r="I48" s="45">
        <v>2074710</v>
      </c>
      <c r="J48" s="45">
        <v>2295170</v>
      </c>
      <c r="K48" s="105">
        <v>8895</v>
      </c>
      <c r="L48" s="105">
        <v>0</v>
      </c>
      <c r="M48" s="45">
        <v>2215597</v>
      </c>
      <c r="N48" s="45">
        <v>20</v>
      </c>
      <c r="O48" s="105">
        <v>7851</v>
      </c>
      <c r="P48" s="101">
        <v>22249</v>
      </c>
      <c r="Q48" s="105">
        <v>470</v>
      </c>
      <c r="R48" s="45">
        <v>5797104</v>
      </c>
      <c r="S48" s="45">
        <v>842569</v>
      </c>
      <c r="T48" s="105">
        <v>3519</v>
      </c>
      <c r="U48" s="105">
        <v>0</v>
      </c>
      <c r="V48" s="105">
        <v>273865</v>
      </c>
      <c r="W48" s="102">
        <v>0</v>
      </c>
      <c r="X48" s="163">
        <f>SUM(H24+I24+J24+K24+L24+M24+O24+P24+R24+S24+U24+V24+H50+M50+N50+V50)</f>
        <v>44802.876040021052</v>
      </c>
      <c r="Y48" s="160">
        <f>SUM(D24+E24+X24+D50+R50)</f>
        <v>91965.163770405474</v>
      </c>
      <c r="Z48" s="169" t="s">
        <v>88</v>
      </c>
      <c r="AA48" s="170"/>
      <c r="AB48" s="170"/>
    </row>
    <row r="49" spans="1:29" ht="20.100000000000001" customHeight="1" x14ac:dyDescent="0.25">
      <c r="A49" s="172"/>
      <c r="B49" s="176"/>
      <c r="C49" s="12" t="s">
        <v>58</v>
      </c>
      <c r="D49" s="69"/>
      <c r="E49" s="69"/>
      <c r="F49" s="70"/>
      <c r="G49" s="71"/>
      <c r="H49" s="20">
        <f>SUM(H48-H45)</f>
        <v>580362</v>
      </c>
      <c r="I49" s="141">
        <f t="shared" ref="I49:J49" si="81">SUM(I48-I45)</f>
        <v>86027</v>
      </c>
      <c r="J49" s="141">
        <f t="shared" si="81"/>
        <v>148386</v>
      </c>
      <c r="K49" s="70"/>
      <c r="L49" s="70"/>
      <c r="M49" s="20">
        <f t="shared" ref="M49:N49" si="82">SUM(M48-M45)</f>
        <v>22441</v>
      </c>
      <c r="N49" s="20">
        <f t="shared" si="82"/>
        <v>-2217166</v>
      </c>
      <c r="O49" s="70"/>
      <c r="P49" s="69"/>
      <c r="Q49" s="70"/>
      <c r="R49" s="23">
        <f>SUM(R48-R45)</f>
        <v>298567</v>
      </c>
      <c r="S49" s="23">
        <f t="shared" ref="S49" si="83">SUM(S48-S45)</f>
        <v>47631</v>
      </c>
      <c r="T49" s="70"/>
      <c r="U49" s="70"/>
      <c r="V49" s="130">
        <f t="shared" ref="V49" si="84">SUM(V48-V45)</f>
        <v>27930.619999999995</v>
      </c>
      <c r="W49" s="11">
        <v>0</v>
      </c>
      <c r="X49" s="164"/>
      <c r="Y49" s="161"/>
      <c r="Z49" s="169"/>
      <c r="AA49" s="170"/>
      <c r="AB49" s="170"/>
    </row>
    <row r="50" spans="1:29" ht="20.100000000000001" customHeight="1" thickBot="1" x14ac:dyDescent="0.3">
      <c r="A50" s="173"/>
      <c r="B50" s="177"/>
      <c r="C50" s="8" t="s">
        <v>31</v>
      </c>
      <c r="D50" s="22">
        <f>SUM(D48-D45)</f>
        <v>10214</v>
      </c>
      <c r="E50" s="48">
        <f t="shared" ref="E50" si="85">SUM(E48-E45)</f>
        <v>24</v>
      </c>
      <c r="F50" s="93">
        <f t="shared" ref="F50" si="86">SUM(D50/5)*4</f>
        <v>8171.2</v>
      </c>
      <c r="G50" s="93">
        <f t="shared" ref="G50" si="87">SUM(D50/5)</f>
        <v>2042.8</v>
      </c>
      <c r="H50" s="19">
        <f t="shared" ref="H50" si="88">SUM(H49/10.55/3.6)</f>
        <v>15280.726698262242</v>
      </c>
      <c r="I50" s="48">
        <f t="shared" ref="I50:N50" si="89">SUM(I49/10.55/3.6)</f>
        <v>2265.0605581885202</v>
      </c>
      <c r="J50" s="48">
        <f t="shared" si="89"/>
        <v>3906.9510268562399</v>
      </c>
      <c r="K50" s="93">
        <f t="shared" ref="K50" si="90">SUM(K48-K45)</f>
        <v>654</v>
      </c>
      <c r="L50" s="48">
        <f t="shared" ref="L50" si="91">SUM(I50/5)</f>
        <v>453.01211163770404</v>
      </c>
      <c r="M50" s="19">
        <f t="shared" ref="M50" si="92">SUM(M49/10.55/3.6)</f>
        <v>590.86361242759347</v>
      </c>
      <c r="N50" s="19">
        <f t="shared" si="89"/>
        <v>-58377.198525539752</v>
      </c>
      <c r="O50" s="93">
        <f t="shared" ref="O50" si="93">SUM(O48-O45)</f>
        <v>215</v>
      </c>
      <c r="P50" s="17">
        <f>SUM(P48-P45)</f>
        <v>612</v>
      </c>
      <c r="Q50" s="93">
        <f t="shared" ref="Q50" si="94">SUM(Q48-Q45)</f>
        <v>73</v>
      </c>
      <c r="R50" s="22">
        <f t="shared" ref="R50" si="95">SUM(R49/10.55/3.6)</f>
        <v>7861.1637704054756</v>
      </c>
      <c r="S50" s="48">
        <f t="shared" ref="S50:W50" si="96">SUM(S49/10.55/3.6)</f>
        <v>1254.1074249605053</v>
      </c>
      <c r="T50" s="93">
        <f t="shared" ref="T50" si="97">SUM(T48-T45)</f>
        <v>232</v>
      </c>
      <c r="U50" s="93">
        <f t="shared" ref="U50" si="98">SUM(R50-S50)/5</f>
        <v>1321.411269088994</v>
      </c>
      <c r="V50" s="19">
        <f t="shared" ref="V50" si="99">SUM(V49/10.55)</f>
        <v>2647.4521327014213</v>
      </c>
      <c r="W50" s="48">
        <f t="shared" si="96"/>
        <v>0</v>
      </c>
      <c r="X50" s="166"/>
      <c r="Y50" s="168"/>
      <c r="Z50" s="169"/>
      <c r="AA50" s="170"/>
      <c r="AB50" s="170"/>
      <c r="AC50" t="s">
        <v>11</v>
      </c>
    </row>
    <row r="51" spans="1:29" ht="20.100000000000001" customHeight="1" x14ac:dyDescent="0.25">
      <c r="A51" s="171"/>
      <c r="B51" s="175">
        <f>B25</f>
        <v>2023</v>
      </c>
      <c r="C51" s="46" t="s">
        <v>57</v>
      </c>
      <c r="D51" s="101">
        <v>0</v>
      </c>
      <c r="E51" s="101"/>
      <c r="F51" s="105"/>
      <c r="G51" s="105">
        <v>0</v>
      </c>
      <c r="H51" s="101">
        <v>0</v>
      </c>
      <c r="I51" s="45">
        <v>0</v>
      </c>
      <c r="J51" s="45">
        <v>0</v>
      </c>
      <c r="K51" s="105">
        <v>0</v>
      </c>
      <c r="L51" s="105">
        <v>0</v>
      </c>
      <c r="M51" s="45">
        <v>0</v>
      </c>
      <c r="N51" s="45">
        <v>0</v>
      </c>
      <c r="O51" s="105">
        <v>0</v>
      </c>
      <c r="P51" s="101">
        <v>0</v>
      </c>
      <c r="Q51" s="105">
        <v>0</v>
      </c>
      <c r="R51" s="45"/>
      <c r="S51" s="45">
        <v>0</v>
      </c>
      <c r="T51" s="105">
        <v>0</v>
      </c>
      <c r="U51" s="105">
        <v>0</v>
      </c>
      <c r="V51" s="105">
        <v>0</v>
      </c>
      <c r="W51" s="102">
        <v>0</v>
      </c>
      <c r="X51" s="163">
        <f>SUM(H27+I27+J27+K27+L27+M27+O27+P27+R27+S27+U27+V27+H53+M53+N53+V53)</f>
        <v>-1501800.9215376512</v>
      </c>
      <c r="Y51" s="160">
        <f>SUM(D27+E27+X27+D53+R53)</f>
        <v>-2926015.7030015797</v>
      </c>
    </row>
    <row r="52" spans="1:29" ht="20.100000000000001" customHeight="1" x14ac:dyDescent="0.25">
      <c r="A52" s="172"/>
      <c r="B52" s="176"/>
      <c r="C52" s="12" t="s">
        <v>58</v>
      </c>
      <c r="D52" s="69"/>
      <c r="E52" s="69"/>
      <c r="F52" s="70"/>
      <c r="G52" s="71"/>
      <c r="H52" s="20">
        <v>0</v>
      </c>
      <c r="I52" s="141">
        <f t="shared" ref="I52:J52" si="100">SUM(I51-I48)</f>
        <v>-2074710</v>
      </c>
      <c r="J52" s="141">
        <f t="shared" si="100"/>
        <v>-2295170</v>
      </c>
      <c r="K52" s="70"/>
      <c r="L52" s="70"/>
      <c r="M52" s="150">
        <f t="shared" ref="M52:N52" si="101">SUM(M51-M48)</f>
        <v>-2215597</v>
      </c>
      <c r="N52" s="20">
        <f t="shared" si="101"/>
        <v>-20</v>
      </c>
      <c r="O52" s="70"/>
      <c r="P52" s="69"/>
      <c r="Q52" s="70"/>
      <c r="R52" s="23">
        <f>SUM(R51-R48)</f>
        <v>-5797104</v>
      </c>
      <c r="S52" s="23">
        <f t="shared" ref="S52" si="102">SUM(S51-S48)</f>
        <v>-842569</v>
      </c>
      <c r="T52" s="70"/>
      <c r="U52" s="70"/>
      <c r="V52" s="130">
        <f t="shared" ref="V52" si="103">SUM(V51-V48)</f>
        <v>-273865</v>
      </c>
      <c r="W52" s="11">
        <v>0</v>
      </c>
      <c r="X52" s="164"/>
      <c r="Y52" s="161"/>
    </row>
    <row r="53" spans="1:29" ht="20.100000000000001" customHeight="1" thickBot="1" x14ac:dyDescent="0.3">
      <c r="A53" s="174"/>
      <c r="B53" s="178"/>
      <c r="C53" s="8" t="s">
        <v>31</v>
      </c>
      <c r="D53" s="24">
        <f>SUM(D51-D48)</f>
        <v>-54439</v>
      </c>
      <c r="E53" s="54">
        <f t="shared" ref="E53" si="104">SUM(E51-E48)</f>
        <v>-82</v>
      </c>
      <c r="F53" s="103">
        <f t="shared" ref="F53" si="105">SUM(D53/5)*4</f>
        <v>-43551.199999999997</v>
      </c>
      <c r="G53" s="103">
        <f t="shared" ref="G53" si="106">SUM(D53/5)</f>
        <v>-10887.8</v>
      </c>
      <c r="H53" s="21">
        <f t="shared" ref="H53:N53" si="107">SUM(H52/10.55/3.6)</f>
        <v>0</v>
      </c>
      <c r="I53" s="54">
        <f t="shared" si="107"/>
        <v>-54626.382306477091</v>
      </c>
      <c r="J53" s="54">
        <f t="shared" si="107"/>
        <v>-60431.016324381242</v>
      </c>
      <c r="K53" s="103">
        <f t="shared" ref="K53" si="108">SUM(K51-K48)</f>
        <v>-8895</v>
      </c>
      <c r="L53" s="54">
        <f t="shared" ref="L53" si="109">SUM(I53/5)</f>
        <v>-10925.276461295418</v>
      </c>
      <c r="M53" s="21">
        <f t="shared" ref="M53" si="110">SUM(M52/10.55/3.6)</f>
        <v>-58335.887309110054</v>
      </c>
      <c r="N53" s="21">
        <f t="shared" si="107"/>
        <v>-0.526592943654555</v>
      </c>
      <c r="O53" s="103">
        <f t="shared" ref="O53" si="111">SUM(O51-O48)</f>
        <v>-7851</v>
      </c>
      <c r="P53" s="18">
        <f>SUM(P51-P48)</f>
        <v>-22249</v>
      </c>
      <c r="Q53" s="103">
        <f t="shared" ref="Q53" si="112">SUM(Q51-Q48)</f>
        <v>-470</v>
      </c>
      <c r="R53" s="22">
        <f t="shared" ref="R53" si="113">SUM(R52/10.55/3.6)</f>
        <v>-152635.70300157976</v>
      </c>
      <c r="S53" s="54">
        <f t="shared" ref="S53:W53" si="114">SUM(S52/10.55/3.6)</f>
        <v>-22184.54449710374</v>
      </c>
      <c r="T53" s="103">
        <f t="shared" ref="T53" si="115">SUM(T51-T48)</f>
        <v>-3519</v>
      </c>
      <c r="U53" s="103">
        <f t="shared" ref="U53" si="116">SUM(R53-S53)/5</f>
        <v>-26090.231700895205</v>
      </c>
      <c r="V53" s="21">
        <f t="shared" ref="V53" si="117">SUM(V52/10.55)</f>
        <v>-25958.767772511848</v>
      </c>
      <c r="W53" s="104">
        <f t="shared" si="114"/>
        <v>0</v>
      </c>
      <c r="X53" s="165"/>
      <c r="Y53" s="162"/>
    </row>
    <row r="54" spans="1:29" ht="15.75" thickTop="1" x14ac:dyDescent="0.25">
      <c r="D54" t="s">
        <v>11</v>
      </c>
    </row>
    <row r="57" spans="1:29" x14ac:dyDescent="0.25">
      <c r="I57" t="s">
        <v>11</v>
      </c>
    </row>
    <row r="58" spans="1:29" x14ac:dyDescent="0.25">
      <c r="K58" t="s">
        <v>11</v>
      </c>
    </row>
  </sheetData>
  <mergeCells count="67">
    <mergeCell ref="E2:J2"/>
    <mergeCell ref="P30:Q30"/>
    <mergeCell ref="R30:U30"/>
    <mergeCell ref="O4:Q4"/>
    <mergeCell ref="R4:T4"/>
    <mergeCell ref="U4:W4"/>
    <mergeCell ref="A1:Y1"/>
    <mergeCell ref="X34:X35"/>
    <mergeCell ref="Y34:Y35"/>
    <mergeCell ref="C4:C5"/>
    <mergeCell ref="X30:X31"/>
    <mergeCell ref="Y30:Y31"/>
    <mergeCell ref="V30:W30"/>
    <mergeCell ref="B4:B5"/>
    <mergeCell ref="B30:B31"/>
    <mergeCell ref="D30:G30"/>
    <mergeCell ref="H30:L30"/>
    <mergeCell ref="M30:O30"/>
    <mergeCell ref="X4:Y4"/>
    <mergeCell ref="D4:G4"/>
    <mergeCell ref="I4:N4"/>
    <mergeCell ref="C6:C7"/>
    <mergeCell ref="A4:A5"/>
    <mergeCell ref="A6:A9"/>
    <mergeCell ref="B6:B9"/>
    <mergeCell ref="A10:A12"/>
    <mergeCell ref="A13:A15"/>
    <mergeCell ref="B10:B12"/>
    <mergeCell ref="B13:B15"/>
    <mergeCell ref="C32:C33"/>
    <mergeCell ref="A32:A35"/>
    <mergeCell ref="B32:B35"/>
    <mergeCell ref="A30:A31"/>
    <mergeCell ref="A16:A18"/>
    <mergeCell ref="A19:A21"/>
    <mergeCell ref="A22:A24"/>
    <mergeCell ref="A25:A27"/>
    <mergeCell ref="B19:B21"/>
    <mergeCell ref="B22:B24"/>
    <mergeCell ref="B25:B27"/>
    <mergeCell ref="B16:B18"/>
    <mergeCell ref="A48:A50"/>
    <mergeCell ref="A51:A53"/>
    <mergeCell ref="B36:B38"/>
    <mergeCell ref="B39:B41"/>
    <mergeCell ref="B42:B44"/>
    <mergeCell ref="B45:B47"/>
    <mergeCell ref="B48:B50"/>
    <mergeCell ref="B51:B53"/>
    <mergeCell ref="A36:A38"/>
    <mergeCell ref="A39:A41"/>
    <mergeCell ref="A42:A44"/>
    <mergeCell ref="A45:A47"/>
    <mergeCell ref="Y51:Y53"/>
    <mergeCell ref="X51:X53"/>
    <mergeCell ref="X36:X38"/>
    <mergeCell ref="AA9:AH9"/>
    <mergeCell ref="Y36:Y38"/>
    <mergeCell ref="Y39:Y41"/>
    <mergeCell ref="Y42:Y44"/>
    <mergeCell ref="Y45:Y47"/>
    <mergeCell ref="Z48:AB50"/>
    <mergeCell ref="X39:X41"/>
    <mergeCell ref="X42:X44"/>
    <mergeCell ref="X45:X47"/>
    <mergeCell ref="X48:X50"/>
    <mergeCell ref="Y48:Y50"/>
  </mergeCells>
  <pageMargins left="0.70866141732283472" right="0.70866141732283472" top="0.78740157480314965" bottom="0.78740157480314965" header="0.31496062992125984" footer="0.31496062992125984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1"/>
  <sheetViews>
    <sheetView zoomScale="85" zoomScaleNormal="85" workbookViewId="0">
      <selection activeCell="G26" sqref="G26"/>
    </sheetView>
  </sheetViews>
  <sheetFormatPr defaultRowHeight="15" x14ac:dyDescent="0.25"/>
  <cols>
    <col min="1" max="1" width="11.28515625" customWidth="1"/>
    <col min="2" max="7" width="13.7109375" customWidth="1"/>
    <col min="8" max="8" width="15.85546875" customWidth="1"/>
    <col min="9" max="19" width="13.7109375" customWidth="1"/>
    <col min="20" max="21" width="15.7109375" customWidth="1"/>
    <col min="22" max="22" width="10.28515625" customWidth="1"/>
    <col min="23" max="23" width="12.7109375" customWidth="1"/>
  </cols>
  <sheetData>
    <row r="2" spans="2:23" ht="29.25" customHeight="1" x14ac:dyDescent="0.25"/>
    <row r="3" spans="2:23" ht="15.75" customHeight="1" x14ac:dyDescent="0.25"/>
    <row r="4" spans="2:23" ht="36.75" customHeight="1" x14ac:dyDescent="0.25">
      <c r="B4" s="236" t="s">
        <v>59</v>
      </c>
      <c r="C4" s="236"/>
      <c r="D4" s="236"/>
      <c r="E4" s="85"/>
      <c r="F4" s="155"/>
      <c r="G4" s="149"/>
      <c r="H4" s="85"/>
      <c r="I4" s="85"/>
      <c r="J4" s="236" t="s">
        <v>62</v>
      </c>
      <c r="K4" s="236"/>
      <c r="L4" s="236"/>
      <c r="M4" s="210"/>
      <c r="N4" s="85"/>
      <c r="O4" s="236" t="s">
        <v>63</v>
      </c>
      <c r="P4" s="236"/>
      <c r="Q4" s="236"/>
      <c r="R4" s="210"/>
      <c r="S4" s="85"/>
      <c r="T4" s="242" t="s">
        <v>65</v>
      </c>
      <c r="U4" s="170"/>
    </row>
    <row r="5" spans="2:23" ht="15.75" thickBot="1" x14ac:dyDescent="0.3"/>
    <row r="6" spans="2:23" ht="83.25" thickTop="1" thickBot="1" x14ac:dyDescent="0.3">
      <c r="B6" s="79"/>
      <c r="C6" s="80" t="s">
        <v>40</v>
      </c>
      <c r="D6" s="80" t="s">
        <v>60</v>
      </c>
      <c r="E6" s="81" t="s">
        <v>69</v>
      </c>
      <c r="F6" s="154" t="s">
        <v>90</v>
      </c>
      <c r="G6" s="154" t="s">
        <v>89</v>
      </c>
      <c r="H6" s="82" t="s">
        <v>61</v>
      </c>
      <c r="J6" s="79"/>
      <c r="K6" s="83" t="s">
        <v>64</v>
      </c>
      <c r="L6" s="84" t="s">
        <v>29</v>
      </c>
      <c r="M6" s="82" t="s">
        <v>61</v>
      </c>
      <c r="O6" s="79"/>
      <c r="P6" s="87" t="s">
        <v>67</v>
      </c>
      <c r="Q6" s="88" t="s">
        <v>68</v>
      </c>
      <c r="R6" s="82" t="s">
        <v>61</v>
      </c>
      <c r="T6" s="79"/>
      <c r="U6" s="86" t="s">
        <v>66</v>
      </c>
      <c r="V6" s="212" t="s">
        <v>78</v>
      </c>
      <c r="W6" s="213"/>
    </row>
    <row r="7" spans="2:23" ht="37.5" customHeight="1" thickBot="1" x14ac:dyDescent="0.3">
      <c r="B7" s="107"/>
      <c r="C7" s="108"/>
      <c r="D7" s="108"/>
      <c r="E7" s="109"/>
      <c r="F7" s="153"/>
      <c r="G7" s="153"/>
      <c r="H7" s="110"/>
      <c r="J7" s="112"/>
      <c r="K7" s="113"/>
      <c r="L7" s="113"/>
      <c r="M7" s="114"/>
      <c r="O7" s="112"/>
      <c r="P7" s="115"/>
      <c r="Q7" s="116"/>
      <c r="R7" s="110"/>
      <c r="T7" s="112"/>
      <c r="U7" s="117"/>
      <c r="V7" s="111" t="s">
        <v>79</v>
      </c>
      <c r="W7" s="118" t="s">
        <v>80</v>
      </c>
    </row>
    <row r="8" spans="2:23" ht="15.75" x14ac:dyDescent="0.25">
      <c r="B8" s="218">
        <v>2017</v>
      </c>
      <c r="C8" s="220">
        <f>'Odečtový list'!K9</f>
        <v>2374.5918904686678</v>
      </c>
      <c r="D8" s="220">
        <f>'Odečtový list'!L9</f>
        <v>1899.9736703528172</v>
      </c>
      <c r="E8" s="233">
        <f>SUM('Odečtový list'!P9/'Odečtový list'!Q9)*280</f>
        <v>1702.0852485548446</v>
      </c>
      <c r="F8" s="156"/>
      <c r="G8" s="233"/>
      <c r="H8" s="222">
        <f>SUM(C8+D8+E8)</f>
        <v>5976.6508093763296</v>
      </c>
      <c r="J8" s="231">
        <v>2017</v>
      </c>
      <c r="K8" s="230">
        <f>'Odečtový list'!R35</f>
        <v>9428.9099526066329</v>
      </c>
      <c r="L8" s="230">
        <f>'Odečtový list'!S35</f>
        <v>1537.9146919431278</v>
      </c>
      <c r="M8" s="232">
        <f>SUM(K8-L8)</f>
        <v>7890.9952606635052</v>
      </c>
      <c r="O8" s="231">
        <v>2017</v>
      </c>
      <c r="P8" s="230">
        <f>'Odečtový list'!I35</f>
        <v>3137.8620326487626</v>
      </c>
      <c r="Q8" s="230">
        <f>'Odečtový list'!L35</f>
        <v>560</v>
      </c>
      <c r="R8" s="222">
        <f>SUM(P8+Q8)</f>
        <v>3697.8620326487626</v>
      </c>
      <c r="T8" s="231">
        <v>2017</v>
      </c>
      <c r="U8" s="232">
        <f>'Odečtový list'!V35</f>
        <v>4871.7535545023693</v>
      </c>
      <c r="V8" s="214">
        <v>35</v>
      </c>
      <c r="W8" s="216">
        <f>SUM('Odečtový list'!P9/'Odečtový list'!Q9)*V8</f>
        <v>212.76065606935558</v>
      </c>
    </row>
    <row r="9" spans="2:23" ht="15.75" thickBot="1" x14ac:dyDescent="0.3">
      <c r="B9" s="219"/>
      <c r="C9" s="221"/>
      <c r="D9" s="221"/>
      <c r="E9" s="234"/>
      <c r="F9" s="157"/>
      <c r="G9" s="234"/>
      <c r="H9" s="223"/>
      <c r="J9" s="219"/>
      <c r="K9" s="221"/>
      <c r="L9" s="221"/>
      <c r="M9" s="223"/>
      <c r="O9" s="219"/>
      <c r="P9" s="221"/>
      <c r="Q9" s="221"/>
      <c r="R9" s="223"/>
      <c r="T9" s="219"/>
      <c r="U9" s="223"/>
      <c r="V9" s="215"/>
      <c r="W9" s="217"/>
    </row>
    <row r="10" spans="2:23" ht="15" customHeight="1" x14ac:dyDescent="0.25">
      <c r="B10" s="218">
        <v>2018</v>
      </c>
      <c r="C10" s="220">
        <f>'Odečtový list'!K12</f>
        <v>1492.8909952606634</v>
      </c>
      <c r="D10" s="220">
        <f>'Odečtový list'!L12</f>
        <v>1343.6018957345971</v>
      </c>
      <c r="E10" s="233">
        <f>SUM('Odečtový list'!P12/'Odečtový list'!Q12)*280</f>
        <v>1592.4170616113743</v>
      </c>
      <c r="F10" s="156"/>
      <c r="G10" s="233"/>
      <c r="H10" s="222">
        <f>SUM(C10+D10+E10)</f>
        <v>4428.9099526066348</v>
      </c>
      <c r="J10" s="218">
        <v>2018</v>
      </c>
      <c r="K10" s="220">
        <f>'Odečtový list'!R38</f>
        <v>9156.3981042654032</v>
      </c>
      <c r="L10" s="220">
        <f>'Odečtový list'!S38</f>
        <v>1403.3175355450235</v>
      </c>
      <c r="M10" s="222">
        <f t="shared" ref="M10" si="0">SUM(K10-L10)</f>
        <v>7753.0805687203792</v>
      </c>
      <c r="O10" s="218">
        <v>2018</v>
      </c>
      <c r="P10" s="230">
        <f>'Odečtový list'!I38</f>
        <v>3184.8341232227485</v>
      </c>
      <c r="Q10" s="230">
        <f>'Odečtový list'!L38</f>
        <v>636.96682464454966</v>
      </c>
      <c r="R10" s="222">
        <f>SUM(P10+Q10)</f>
        <v>3821.8009478672984</v>
      </c>
      <c r="T10" s="218">
        <v>2018</v>
      </c>
      <c r="U10" s="222">
        <f>'Odečtový list'!V38</f>
        <v>4333.649289099526</v>
      </c>
      <c r="V10" s="214">
        <v>30</v>
      </c>
      <c r="W10" s="216">
        <f>SUM('Odečtový list'!P12/'Odečtový list'!Q12)*V10</f>
        <v>170.61611374407582</v>
      </c>
    </row>
    <row r="11" spans="2:23" ht="15.75" customHeight="1" thickBot="1" x14ac:dyDescent="0.3">
      <c r="B11" s="219"/>
      <c r="C11" s="221"/>
      <c r="D11" s="221"/>
      <c r="E11" s="235"/>
      <c r="F11" s="159"/>
      <c r="G11" s="234"/>
      <c r="H11" s="223"/>
      <c r="J11" s="219"/>
      <c r="K11" s="221"/>
      <c r="L11" s="221"/>
      <c r="M11" s="223"/>
      <c r="O11" s="219"/>
      <c r="P11" s="221"/>
      <c r="Q11" s="221"/>
      <c r="R11" s="223"/>
      <c r="T11" s="219"/>
      <c r="U11" s="223"/>
      <c r="V11" s="215"/>
      <c r="W11" s="217"/>
    </row>
    <row r="12" spans="2:23" ht="15" customHeight="1" x14ac:dyDescent="0.25">
      <c r="B12" s="218">
        <v>2019</v>
      </c>
      <c r="C12" s="220">
        <f>'Odečtový list'!K15</f>
        <v>2354.3970510795152</v>
      </c>
      <c r="D12" s="220">
        <f>'Odečtový list'!L15</f>
        <v>2112.4275934702473</v>
      </c>
      <c r="E12" s="233">
        <f>SUM('Odečtový list'!P15/'Odečtový list'!Q15)*280</f>
        <v>1812.3573810777602</v>
      </c>
      <c r="F12" s="156"/>
      <c r="G12" s="233"/>
      <c r="H12" s="222">
        <f t="shared" ref="H12" si="1">SUM(C12+D12+E12)</f>
        <v>6279.1820256275223</v>
      </c>
      <c r="J12" s="218">
        <v>2019</v>
      </c>
      <c r="K12" s="220">
        <f>'Odečtový list'!R41</f>
        <v>9378.3570300157971</v>
      </c>
      <c r="L12" s="220">
        <f>'Odečtový list'!S41</f>
        <v>1233.070036861506</v>
      </c>
      <c r="M12" s="222">
        <f t="shared" ref="M12" si="2">SUM(K12-L12)</f>
        <v>8145.2869931542909</v>
      </c>
      <c r="O12" s="218">
        <v>2019</v>
      </c>
      <c r="P12" s="230">
        <f>'Odečtový list'!I41</f>
        <v>3564.7709320695099</v>
      </c>
      <c r="Q12" s="230">
        <f>'Odečtový list'!L41</f>
        <v>712.95418641390199</v>
      </c>
      <c r="R12" s="222">
        <f t="shared" ref="R12" si="3">SUM(P12+Q12)</f>
        <v>4277.7251184834122</v>
      </c>
      <c r="T12" s="218">
        <v>2019</v>
      </c>
      <c r="U12" s="222">
        <f>'Odečtový list'!V41</f>
        <v>2928.2464454976302</v>
      </c>
      <c r="V12" s="214">
        <v>55</v>
      </c>
      <c r="W12" s="216">
        <f>SUM('Odečtový list'!P15/'Odečtový list'!Q15)*V12</f>
        <v>355.99877128313148</v>
      </c>
    </row>
    <row r="13" spans="2:23" ht="15.75" customHeight="1" thickBot="1" x14ac:dyDescent="0.3">
      <c r="B13" s="219"/>
      <c r="C13" s="221"/>
      <c r="D13" s="221"/>
      <c r="E13" s="235"/>
      <c r="F13" s="159"/>
      <c r="G13" s="234"/>
      <c r="H13" s="223"/>
      <c r="J13" s="219"/>
      <c r="K13" s="221"/>
      <c r="L13" s="221"/>
      <c r="M13" s="223"/>
      <c r="O13" s="219"/>
      <c r="P13" s="221"/>
      <c r="Q13" s="221"/>
      <c r="R13" s="223"/>
      <c r="T13" s="219"/>
      <c r="U13" s="223"/>
      <c r="V13" s="215"/>
      <c r="W13" s="217"/>
    </row>
    <row r="14" spans="2:23" ht="15" customHeight="1" x14ac:dyDescent="0.25">
      <c r="B14" s="218">
        <v>2020</v>
      </c>
      <c r="C14" s="220">
        <f>'Odečtový list'!K18</f>
        <v>2467.9568193786199</v>
      </c>
      <c r="D14" s="220">
        <f>'Odečtový list'!L18</f>
        <v>1896.1558715113215</v>
      </c>
      <c r="E14" s="233">
        <f>SUM('Odečtový list'!P18/'Odečtový list'!Q18)*280</f>
        <v>1896.880167770664</v>
      </c>
      <c r="F14" s="156"/>
      <c r="G14" s="233"/>
      <c r="H14" s="222">
        <f t="shared" ref="H14" si="4">SUM(C14+D14+E14)</f>
        <v>6260.9928586606056</v>
      </c>
      <c r="J14" s="218">
        <v>2020</v>
      </c>
      <c r="K14" s="220">
        <f>'Odečtový list'!R44</f>
        <v>9231.4375987361764</v>
      </c>
      <c r="L14" s="220">
        <f>'Odečtový list'!S44</f>
        <v>1506.2927856766719</v>
      </c>
      <c r="M14" s="222">
        <f t="shared" ref="M14" si="5">SUM(K14-L14)</f>
        <v>7725.1448130595045</v>
      </c>
      <c r="O14" s="218">
        <v>2020</v>
      </c>
      <c r="P14" s="230">
        <f>'Odečtový list'!I44</f>
        <v>3055.476566614007</v>
      </c>
      <c r="Q14" s="230">
        <f>'Odečtový list'!L44</f>
        <v>611.09531332280142</v>
      </c>
      <c r="R14" s="222">
        <f t="shared" ref="R14" si="6">SUM(P14+Q14)</f>
        <v>3666.5718799368083</v>
      </c>
      <c r="T14" s="218">
        <v>2020</v>
      </c>
      <c r="U14" s="222">
        <f>'Odečtový list'!V44</f>
        <v>3143.9810426540284</v>
      </c>
      <c r="V14" s="214">
        <v>73</v>
      </c>
      <c r="W14" s="216">
        <f>SUM('Odečtový list'!P18/'Odečtový list'!Q18)*V14</f>
        <v>494.54375802592307</v>
      </c>
    </row>
    <row r="15" spans="2:23" ht="15.75" customHeight="1" thickBot="1" x14ac:dyDescent="0.3">
      <c r="B15" s="219"/>
      <c r="C15" s="221"/>
      <c r="D15" s="221"/>
      <c r="E15" s="235"/>
      <c r="F15" s="159"/>
      <c r="G15" s="234"/>
      <c r="H15" s="223"/>
      <c r="J15" s="219"/>
      <c r="K15" s="221"/>
      <c r="L15" s="221"/>
      <c r="M15" s="223"/>
      <c r="O15" s="219"/>
      <c r="P15" s="221"/>
      <c r="Q15" s="221"/>
      <c r="R15" s="223"/>
      <c r="T15" s="219"/>
      <c r="U15" s="223"/>
      <c r="V15" s="215"/>
      <c r="W15" s="217"/>
    </row>
    <row r="16" spans="2:23" ht="15" customHeight="1" x14ac:dyDescent="0.25">
      <c r="B16" s="218">
        <v>2021</v>
      </c>
      <c r="C16" s="220">
        <f>'Odečtový list'!K21</f>
        <v>2586.1242759347024</v>
      </c>
      <c r="D16" s="220">
        <f>'Odečtový list'!L21</f>
        <v>1878.0937335439703</v>
      </c>
      <c r="E16" s="233">
        <f>SUM('Odečtový list'!P21/'Odečtový list'!Q21)*280</f>
        <v>1645.3261047554759</v>
      </c>
      <c r="F16" s="156"/>
      <c r="G16" s="233"/>
      <c r="H16" s="222">
        <f t="shared" ref="H16" si="7">SUM(C16+D16+E16)</f>
        <v>6109.5441142341488</v>
      </c>
      <c r="J16" s="218">
        <v>2021</v>
      </c>
      <c r="K16" s="220">
        <f>'Odečtový list'!R47</f>
        <v>10472.01158504476</v>
      </c>
      <c r="L16" s="220">
        <f>'Odečtový list'!S47</f>
        <v>1682.9647182727749</v>
      </c>
      <c r="M16" s="222">
        <f t="shared" ref="M16" si="8">SUM(K16-L16)</f>
        <v>8789.0468667719852</v>
      </c>
      <c r="O16" s="218">
        <v>2021</v>
      </c>
      <c r="P16" s="230">
        <f>'Odečtový list'!I47</f>
        <v>2715.5344918378091</v>
      </c>
      <c r="Q16" s="230">
        <f>'Odečtový list'!L47</f>
        <v>543.10689836756183</v>
      </c>
      <c r="R16" s="222">
        <f t="shared" ref="R16" si="9">SUM(P16+Q16)</f>
        <v>3258.641390205371</v>
      </c>
      <c r="T16" s="218">
        <v>2021</v>
      </c>
      <c r="U16" s="222">
        <f>'Odečtový list'!V47</f>
        <v>3502.8796208530807</v>
      </c>
      <c r="V16" s="214">
        <v>69</v>
      </c>
      <c r="W16" s="216">
        <f>SUM('Odečtový list'!P21/'Odečtový list'!Q21)*V16</f>
        <v>405.45536152902798</v>
      </c>
    </row>
    <row r="17" spans="2:23" ht="15.75" customHeight="1" thickBot="1" x14ac:dyDescent="0.3">
      <c r="B17" s="219"/>
      <c r="C17" s="221"/>
      <c r="D17" s="221"/>
      <c r="E17" s="237"/>
      <c r="F17" s="158"/>
      <c r="G17" s="237"/>
      <c r="H17" s="223"/>
      <c r="J17" s="219"/>
      <c r="K17" s="221"/>
      <c r="L17" s="221"/>
      <c r="M17" s="223"/>
      <c r="O17" s="219"/>
      <c r="P17" s="221"/>
      <c r="Q17" s="221"/>
      <c r="R17" s="223"/>
      <c r="T17" s="219"/>
      <c r="U17" s="223"/>
      <c r="V17" s="215"/>
      <c r="W17" s="217"/>
    </row>
    <row r="18" spans="2:23" ht="15" customHeight="1" x14ac:dyDescent="0.25">
      <c r="B18" s="218">
        <v>2022</v>
      </c>
      <c r="C18" s="220">
        <f>'Odečtový list'!K24</f>
        <v>1849.7630331753553</v>
      </c>
      <c r="D18" s="220">
        <f>'Odečtový list'!L24</f>
        <v>921.98525539757759</v>
      </c>
      <c r="E18" s="233">
        <f>SUM('Odečtový list'!P24/'Odečtový list'!Q24)*G18</f>
        <v>108.56210003480869</v>
      </c>
      <c r="F18" s="238">
        <v>23</v>
      </c>
      <c r="G18" s="240">
        <f>SUM(F18)/20*15</f>
        <v>17.25</v>
      </c>
      <c r="H18" s="222">
        <f t="shared" ref="H18" si="10">SUM(C18+D18+E18)</f>
        <v>2880.3103886077415</v>
      </c>
      <c r="J18" s="218">
        <v>2022</v>
      </c>
      <c r="K18" s="220">
        <f>'Odečtový list'!R50</f>
        <v>7861.1637704054756</v>
      </c>
      <c r="L18" s="220">
        <f>'Odečtový list'!S50</f>
        <v>1254.1074249605053</v>
      </c>
      <c r="M18" s="222">
        <f t="shared" ref="M18" si="11">SUM(K18-L18)</f>
        <v>6607.0563454449702</v>
      </c>
      <c r="O18" s="218">
        <v>2022</v>
      </c>
      <c r="P18" s="230">
        <f>'Odečtový list'!I50</f>
        <v>2265.0605581885202</v>
      </c>
      <c r="Q18" s="230">
        <f>'Odečtový list'!L50</f>
        <v>453.01211163770404</v>
      </c>
      <c r="R18" s="222">
        <f t="shared" ref="R18" si="12">SUM(P18+Q18)</f>
        <v>2718.0726698262242</v>
      </c>
      <c r="T18" s="218">
        <v>2022</v>
      </c>
      <c r="U18" s="222">
        <f>'Odečtový list'!V50</f>
        <v>2647.4521327014213</v>
      </c>
      <c r="V18" s="214">
        <v>71</v>
      </c>
      <c r="W18" s="216">
        <f>SUM('Odečtový list'!P24/'Odečtový list'!Q24)*V18</f>
        <v>446.83531028819812</v>
      </c>
    </row>
    <row r="19" spans="2:23" ht="15.75" customHeight="1" thickBot="1" x14ac:dyDescent="0.3">
      <c r="B19" s="219"/>
      <c r="C19" s="221"/>
      <c r="D19" s="221"/>
      <c r="E19" s="235"/>
      <c r="F19" s="239"/>
      <c r="G19" s="241"/>
      <c r="H19" s="223"/>
      <c r="J19" s="219"/>
      <c r="K19" s="221"/>
      <c r="L19" s="221"/>
      <c r="M19" s="223"/>
      <c r="O19" s="219"/>
      <c r="P19" s="221"/>
      <c r="Q19" s="221"/>
      <c r="R19" s="223"/>
      <c r="T19" s="219"/>
      <c r="U19" s="223"/>
      <c r="V19" s="215"/>
      <c r="W19" s="217"/>
    </row>
    <row r="20" spans="2:23" ht="15" customHeight="1" x14ac:dyDescent="0.25">
      <c r="B20" s="224">
        <v>2023</v>
      </c>
      <c r="C20" s="226">
        <f>'Odečtový list'!K27</f>
        <v>-38760.084254870977</v>
      </c>
      <c r="D20" s="226">
        <f>'Odečtový list'!L27</f>
        <v>-33081.964191679828</v>
      </c>
      <c r="E20" s="233" t="e">
        <f>SUM('Odečtový list'!P27/'Odečtový list'!Q27)*280</f>
        <v>#DIV/0!</v>
      </c>
      <c r="F20" s="156"/>
      <c r="G20" s="233"/>
      <c r="H20" s="228" t="e">
        <f t="shared" ref="H20" si="13">SUM(C20+D20+E20)</f>
        <v>#DIV/0!</v>
      </c>
      <c r="J20" s="224">
        <v>2023</v>
      </c>
      <c r="K20" s="226">
        <f>'Odečtový list'!R53</f>
        <v>-152635.70300157976</v>
      </c>
      <c r="L20" s="226">
        <f>'Odečtový list'!S53</f>
        <v>-22184.54449710374</v>
      </c>
      <c r="M20" s="228">
        <f t="shared" ref="M20" si="14">SUM(K20-L20)</f>
        <v>-130451.15850447603</v>
      </c>
      <c r="O20" s="224">
        <v>2023</v>
      </c>
      <c r="P20" s="226">
        <f>'Odečtový list'!I53</f>
        <v>-54626.382306477091</v>
      </c>
      <c r="Q20" s="226">
        <f>'Odečtový list'!L53</f>
        <v>-10925.276461295418</v>
      </c>
      <c r="R20" s="228">
        <f t="shared" ref="R20" si="15">SUM(P20+Q20)</f>
        <v>-65551.658767772504</v>
      </c>
      <c r="T20" s="224">
        <v>2023</v>
      </c>
      <c r="U20" s="228">
        <f>'Odečtový list'!V53</f>
        <v>-25958.767772511848</v>
      </c>
      <c r="V20" s="214">
        <v>0</v>
      </c>
      <c r="W20" s="216" t="e">
        <f>SUM('Odečtový list'!P27/'Odečtový list'!Q27)*V20</f>
        <v>#DIV/0!</v>
      </c>
    </row>
    <row r="21" spans="2:23" ht="15.75" customHeight="1" thickBot="1" x14ac:dyDescent="0.3">
      <c r="B21" s="225"/>
      <c r="C21" s="227"/>
      <c r="D21" s="227"/>
      <c r="E21" s="237"/>
      <c r="F21" s="158"/>
      <c r="G21" s="234"/>
      <c r="H21" s="229"/>
      <c r="J21" s="225"/>
      <c r="K21" s="227"/>
      <c r="L21" s="227"/>
      <c r="M21" s="229"/>
      <c r="O21" s="225"/>
      <c r="P21" s="227"/>
      <c r="Q21" s="227"/>
      <c r="R21" s="229"/>
      <c r="T21" s="225"/>
      <c r="U21" s="229"/>
      <c r="V21" s="215"/>
      <c r="W21" s="217"/>
    </row>
  </sheetData>
  <mergeCells count="132">
    <mergeCell ref="G20:G21"/>
    <mergeCell ref="T4:U4"/>
    <mergeCell ref="T8:T9"/>
    <mergeCell ref="U8:U9"/>
    <mergeCell ref="J4:M4"/>
    <mergeCell ref="M14:M15"/>
    <mergeCell ref="J16:J17"/>
    <mergeCell ref="K16:K17"/>
    <mergeCell ref="L16:L17"/>
    <mergeCell ref="M16:M17"/>
    <mergeCell ref="R18:R19"/>
    <mergeCell ref="H8:H9"/>
    <mergeCell ref="O4:R4"/>
    <mergeCell ref="O8:O9"/>
    <mergeCell ref="P8:P9"/>
    <mergeCell ref="Q8:Q9"/>
    <mergeCell ref="R8:R9"/>
    <mergeCell ref="O10:O11"/>
    <mergeCell ref="P10:P11"/>
    <mergeCell ref="B20:B21"/>
    <mergeCell ref="C20:C21"/>
    <mergeCell ref="D20:D21"/>
    <mergeCell ref="H20:H21"/>
    <mergeCell ref="B12:B13"/>
    <mergeCell ref="C12:C13"/>
    <mergeCell ref="D12:D13"/>
    <mergeCell ref="H12:H13"/>
    <mergeCell ref="B14:B15"/>
    <mergeCell ref="C14:C15"/>
    <mergeCell ref="D14:D15"/>
    <mergeCell ref="H14:H15"/>
    <mergeCell ref="B16:B17"/>
    <mergeCell ref="C16:C17"/>
    <mergeCell ref="E12:E13"/>
    <mergeCell ref="E14:E15"/>
    <mergeCell ref="E16:E17"/>
    <mergeCell ref="E18:E19"/>
    <mergeCell ref="E20:E21"/>
    <mergeCell ref="F18:F19"/>
    <mergeCell ref="G12:G13"/>
    <mergeCell ref="G14:G15"/>
    <mergeCell ref="G16:G17"/>
    <mergeCell ref="G18:G19"/>
    <mergeCell ref="B4:D4"/>
    <mergeCell ref="B8:B9"/>
    <mergeCell ref="C8:C9"/>
    <mergeCell ref="D8:D9"/>
    <mergeCell ref="T18:T19"/>
    <mergeCell ref="U18:U19"/>
    <mergeCell ref="T20:T21"/>
    <mergeCell ref="U20:U21"/>
    <mergeCell ref="D16:D17"/>
    <mergeCell ref="H16:H17"/>
    <mergeCell ref="B18:B19"/>
    <mergeCell ref="C18:C19"/>
    <mergeCell ref="D18:D19"/>
    <mergeCell ref="H18:H19"/>
    <mergeCell ref="T10:T11"/>
    <mergeCell ref="U10:U11"/>
    <mergeCell ref="T12:T13"/>
    <mergeCell ref="U12:U13"/>
    <mergeCell ref="T14:T15"/>
    <mergeCell ref="U14:U15"/>
    <mergeCell ref="T16:T17"/>
    <mergeCell ref="U16:U17"/>
    <mergeCell ref="K14:K15"/>
    <mergeCell ref="L14:L15"/>
    <mergeCell ref="B10:B11"/>
    <mergeCell ref="C10:C11"/>
    <mergeCell ref="D10:D11"/>
    <mergeCell ref="H10:H11"/>
    <mergeCell ref="J8:J9"/>
    <mergeCell ref="M8:M9"/>
    <mergeCell ref="J10:J11"/>
    <mergeCell ref="K10:K11"/>
    <mergeCell ref="L10:L11"/>
    <mergeCell ref="M10:M11"/>
    <mergeCell ref="K8:K9"/>
    <mergeCell ref="L8:L9"/>
    <mergeCell ref="E8:E9"/>
    <mergeCell ref="E10:E11"/>
    <mergeCell ref="G8:G9"/>
    <mergeCell ref="G10:G11"/>
    <mergeCell ref="Q10:Q11"/>
    <mergeCell ref="R10:R11"/>
    <mergeCell ref="Q20:Q21"/>
    <mergeCell ref="R20:R21"/>
    <mergeCell ref="R12:R13"/>
    <mergeCell ref="O14:O15"/>
    <mergeCell ref="P14:P15"/>
    <mergeCell ref="Q14:Q15"/>
    <mergeCell ref="R14:R15"/>
    <mergeCell ref="O16:O17"/>
    <mergeCell ref="P16:P17"/>
    <mergeCell ref="Q16:Q17"/>
    <mergeCell ref="R16:R17"/>
    <mergeCell ref="O12:O13"/>
    <mergeCell ref="P12:P13"/>
    <mergeCell ref="Q12:Q13"/>
    <mergeCell ref="P18:P19"/>
    <mergeCell ref="Q18:Q19"/>
    <mergeCell ref="J12:J13"/>
    <mergeCell ref="K12:K13"/>
    <mergeCell ref="L12:L13"/>
    <mergeCell ref="M12:M13"/>
    <mergeCell ref="J14:J15"/>
    <mergeCell ref="O20:O21"/>
    <mergeCell ref="P20:P21"/>
    <mergeCell ref="V16:V17"/>
    <mergeCell ref="W16:W17"/>
    <mergeCell ref="V18:V19"/>
    <mergeCell ref="W18:W19"/>
    <mergeCell ref="V20:V21"/>
    <mergeCell ref="W20:W21"/>
    <mergeCell ref="J18:J19"/>
    <mergeCell ref="K18:K19"/>
    <mergeCell ref="L18:L19"/>
    <mergeCell ref="M18:M19"/>
    <mergeCell ref="J20:J21"/>
    <mergeCell ref="K20:K21"/>
    <mergeCell ref="L20:L21"/>
    <mergeCell ref="M20:M21"/>
    <mergeCell ref="O18:O19"/>
    <mergeCell ref="V6:W6"/>
    <mergeCell ref="V8:V9"/>
    <mergeCell ref="W8:W9"/>
    <mergeCell ref="V10:V11"/>
    <mergeCell ref="W10:W11"/>
    <mergeCell ref="V12:V13"/>
    <mergeCell ref="W12:W13"/>
    <mergeCell ref="V14:V15"/>
    <mergeCell ref="W14:W15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Odečtový list</vt:lpstr>
      <vt:lpstr>Podklady - nájemci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2018-02-02T08:48:02Z</cp:lastPrinted>
  <dcterms:created xsi:type="dcterms:W3CDTF">2018-01-30T11:27:42Z</dcterms:created>
  <dcterms:modified xsi:type="dcterms:W3CDTF">2023-05-19T12:41:25Z</dcterms:modified>
</cp:coreProperties>
</file>