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7100" windowHeight="9855" activeTab="1"/>
  </bookViews>
  <sheets>
    <sheet name="Rozpočet - vybrané sloupce" sheetId="1" r:id="rId1"/>
    <sheet name="Krycí list" sheetId="2" r:id="rId2"/>
  </sheets>
  <definedNames>
    <definedName name="Z_69E2D659_72AB_4DA2_BC2C_605F3861FA21_.wvu.Cols" localSheetId="0" hidden="1">'Rozpočet - vybrané sloupce'!$AE:$AF</definedName>
    <definedName name="Z_8991699C_F1B1_4BFC_A8D2_353810A37066_.wvu.Cols" localSheetId="0" hidden="1">'Rozpočet - vybrané sloupce'!$AE:$AF</definedName>
  </definedNames>
  <calcPr calcId="145621"/>
  <customWorkbookViews>
    <customWorkbookView name="uzivatel - vlastní zobrazení" guid="{8991699C-F1B1-4BFC-A8D2-353810A37066}" mergeInterval="0" personalView="1" maximized="1" xWindow="1" yWindow="1" windowWidth="1510" windowHeight="866" activeSheetId="2"/>
    <customWorkbookView name="Jiří Zevl – osobní zobrazení" guid="{69E2D659-72AB-4DA2-BC2C-605F3861FA21}" mergeInterval="0" personalView="1" maximized="1" windowWidth="1676" windowHeight="725" activeSheetId="2"/>
  </customWorkbookViews>
</workbook>
</file>

<file path=xl/calcChain.xml><?xml version="1.0" encoding="utf-8"?>
<calcChain xmlns="http://schemas.openxmlformats.org/spreadsheetml/2006/main">
  <c r="J66" i="1" l="1"/>
  <c r="H66" i="1"/>
  <c r="H91" i="1"/>
  <c r="H118" i="1"/>
  <c r="H145" i="1"/>
  <c r="J145" i="1"/>
  <c r="J143" i="1"/>
  <c r="H143" i="1"/>
  <c r="J128" i="1"/>
  <c r="H128" i="1"/>
  <c r="H121" i="1"/>
  <c r="J121" i="1"/>
  <c r="J118" i="1"/>
  <c r="J91" i="1"/>
  <c r="J32" i="1"/>
  <c r="H32" i="1"/>
  <c r="AE32" i="1"/>
  <c r="AF32" i="1"/>
  <c r="J28" i="1"/>
  <c r="H28" i="1"/>
  <c r="AE28" i="1"/>
  <c r="AF28" i="1"/>
  <c r="H21" i="1" l="1"/>
  <c r="H18" i="1" l="1"/>
  <c r="AE15" i="1"/>
  <c r="AF15" i="1"/>
  <c r="AE14" i="1"/>
  <c r="AF14" i="1"/>
  <c r="AE13" i="1"/>
  <c r="AF13" i="1"/>
  <c r="AE12" i="1"/>
  <c r="AF12" i="1"/>
  <c r="H25" i="1"/>
  <c r="H26" i="1"/>
  <c r="H27" i="1"/>
  <c r="H29" i="1"/>
  <c r="H30" i="1"/>
  <c r="H31" i="1"/>
  <c r="H33" i="1"/>
  <c r="H24" i="1"/>
  <c r="H8" i="1"/>
  <c r="H9" i="1"/>
  <c r="H10" i="1"/>
  <c r="H11" i="1"/>
  <c r="H12" i="1"/>
  <c r="H13" i="1"/>
  <c r="H14" i="1"/>
  <c r="H15" i="1"/>
  <c r="H16" i="1"/>
  <c r="H7" i="1"/>
  <c r="H4" i="1"/>
  <c r="H5" i="1"/>
  <c r="H3" i="1"/>
  <c r="H19" i="1"/>
  <c r="H20" i="1"/>
  <c r="H22" i="1"/>
  <c r="H2" i="1" l="1"/>
  <c r="AF148" i="1"/>
  <c r="AE148" i="1"/>
  <c r="J148" i="1"/>
  <c r="AF147" i="1"/>
  <c r="AE147" i="1"/>
  <c r="J147" i="1"/>
  <c r="AF146" i="1"/>
  <c r="AE146" i="1"/>
  <c r="J146" i="1"/>
  <c r="AF144" i="1"/>
  <c r="AE144" i="1"/>
  <c r="J144" i="1"/>
  <c r="AF142" i="1"/>
  <c r="AE142" i="1"/>
  <c r="J142" i="1"/>
  <c r="AF141" i="1"/>
  <c r="AE141" i="1"/>
  <c r="J141" i="1"/>
  <c r="AF140" i="1"/>
  <c r="AE140" i="1"/>
  <c r="J140" i="1"/>
  <c r="AF139" i="1"/>
  <c r="AE139" i="1"/>
  <c r="J139" i="1"/>
  <c r="AF138" i="1"/>
  <c r="AE138" i="1"/>
  <c r="J138" i="1"/>
  <c r="AF137" i="1"/>
  <c r="AE137" i="1"/>
  <c r="J137" i="1"/>
  <c r="AF136" i="1"/>
  <c r="AE136" i="1"/>
  <c r="J136" i="1"/>
  <c r="AF135" i="1"/>
  <c r="AE135" i="1"/>
  <c r="J135" i="1"/>
  <c r="AF134" i="1"/>
  <c r="AE134" i="1"/>
  <c r="J134" i="1"/>
  <c r="AF133" i="1"/>
  <c r="AE133" i="1"/>
  <c r="J133" i="1"/>
  <c r="H141" i="1" l="1"/>
  <c r="H148" i="1"/>
  <c r="H144" i="1"/>
  <c r="H147" i="1"/>
  <c r="H135" i="1"/>
  <c r="H137" i="1"/>
  <c r="H134" i="1"/>
  <c r="H139" i="1"/>
  <c r="H138" i="1"/>
  <c r="H140" i="1"/>
  <c r="H142" i="1"/>
  <c r="H136" i="1"/>
  <c r="H146" i="1"/>
  <c r="H133" i="1"/>
  <c r="AF132" i="1"/>
  <c r="AE132" i="1"/>
  <c r="J132" i="1"/>
  <c r="AF131" i="1"/>
  <c r="AE131" i="1"/>
  <c r="J131" i="1"/>
  <c r="AF130" i="1"/>
  <c r="AE130" i="1"/>
  <c r="J130" i="1"/>
  <c r="AF129" i="1"/>
  <c r="AE129" i="1"/>
  <c r="J129" i="1"/>
  <c r="AF127" i="1"/>
  <c r="AE127" i="1"/>
  <c r="J127" i="1"/>
  <c r="AF126" i="1"/>
  <c r="AE126" i="1"/>
  <c r="J126" i="1"/>
  <c r="AF125" i="1"/>
  <c r="AE125" i="1"/>
  <c r="J125" i="1"/>
  <c r="AF123" i="1"/>
  <c r="AE123" i="1"/>
  <c r="J123" i="1"/>
  <c r="AF122" i="1"/>
  <c r="AE122" i="1"/>
  <c r="J122" i="1"/>
  <c r="AF120" i="1"/>
  <c r="AE120" i="1"/>
  <c r="J120" i="1"/>
  <c r="AF119" i="1"/>
  <c r="AE119" i="1"/>
  <c r="J119" i="1"/>
  <c r="AF117" i="1"/>
  <c r="AE117" i="1"/>
  <c r="J117" i="1"/>
  <c r="AF116" i="1"/>
  <c r="AE116" i="1"/>
  <c r="J116" i="1"/>
  <c r="AF115" i="1"/>
  <c r="AE115" i="1"/>
  <c r="J115" i="1"/>
  <c r="AF114" i="1"/>
  <c r="AE114" i="1"/>
  <c r="J114" i="1"/>
  <c r="AF113" i="1"/>
  <c r="AE113" i="1"/>
  <c r="J113" i="1"/>
  <c r="AF112" i="1"/>
  <c r="AE112" i="1"/>
  <c r="J112" i="1"/>
  <c r="AF110" i="1"/>
  <c r="AE110" i="1"/>
  <c r="J110" i="1"/>
  <c r="AF109" i="1"/>
  <c r="AE109" i="1"/>
  <c r="J109" i="1"/>
  <c r="AF108" i="1"/>
  <c r="AE108" i="1"/>
  <c r="J108" i="1"/>
  <c r="AF107" i="1"/>
  <c r="AE107" i="1"/>
  <c r="J107" i="1"/>
  <c r="AF105" i="1"/>
  <c r="AE105" i="1"/>
  <c r="J105" i="1"/>
  <c r="AF104" i="1"/>
  <c r="AE104" i="1"/>
  <c r="J104" i="1"/>
  <c r="AF103" i="1"/>
  <c r="AE103" i="1"/>
  <c r="J103" i="1"/>
  <c r="AF102" i="1"/>
  <c r="AE102" i="1"/>
  <c r="J102" i="1"/>
  <c r="AF101" i="1"/>
  <c r="AE101" i="1"/>
  <c r="J101" i="1"/>
  <c r="AF99" i="1"/>
  <c r="AE99" i="1"/>
  <c r="J99" i="1"/>
  <c r="AF97" i="1"/>
  <c r="AE97" i="1"/>
  <c r="J97" i="1"/>
  <c r="AF96" i="1"/>
  <c r="AE96" i="1"/>
  <c r="J96" i="1"/>
  <c r="AF95" i="1"/>
  <c r="AE95" i="1"/>
  <c r="J95" i="1"/>
  <c r="AF94" i="1"/>
  <c r="AE94" i="1"/>
  <c r="J94" i="1"/>
  <c r="AF92" i="1"/>
  <c r="AE92" i="1"/>
  <c r="J92" i="1"/>
  <c r="AF90" i="1"/>
  <c r="AE90" i="1"/>
  <c r="J90" i="1"/>
  <c r="AF89" i="1"/>
  <c r="AE89" i="1"/>
  <c r="J89" i="1"/>
  <c r="AF88" i="1"/>
  <c r="AE88" i="1"/>
  <c r="J88" i="1"/>
  <c r="AF86" i="1"/>
  <c r="AE86" i="1"/>
  <c r="J86" i="1"/>
  <c r="AF85" i="1"/>
  <c r="AE85" i="1"/>
  <c r="J85" i="1"/>
  <c r="AF84" i="1"/>
  <c r="AE84" i="1"/>
  <c r="J84" i="1"/>
  <c r="AF83" i="1"/>
  <c r="AE83" i="1"/>
  <c r="J83" i="1"/>
  <c r="AF81" i="1"/>
  <c r="AE81" i="1"/>
  <c r="J81" i="1"/>
  <c r="AF80" i="1"/>
  <c r="AE80" i="1"/>
  <c r="J80" i="1"/>
  <c r="AF79" i="1"/>
  <c r="AE79" i="1"/>
  <c r="J79" i="1"/>
  <c r="AF77" i="1"/>
  <c r="AE77" i="1"/>
  <c r="J77" i="1"/>
  <c r="AF75" i="1"/>
  <c r="AE75" i="1"/>
  <c r="J75" i="1"/>
  <c r="AF74" i="1"/>
  <c r="AE74" i="1"/>
  <c r="J74" i="1"/>
  <c r="AF72" i="1"/>
  <c r="AE72" i="1"/>
  <c r="J72" i="1"/>
  <c r="AF71" i="1"/>
  <c r="AE71" i="1"/>
  <c r="J71" i="1"/>
  <c r="AF70" i="1"/>
  <c r="AE70" i="1"/>
  <c r="J70" i="1"/>
  <c r="AF68" i="1"/>
  <c r="AE68" i="1"/>
  <c r="J68" i="1"/>
  <c r="AF67" i="1"/>
  <c r="AE67" i="1"/>
  <c r="J67" i="1"/>
  <c r="AF65" i="1"/>
  <c r="AE65" i="1"/>
  <c r="J65" i="1"/>
  <c r="AF63" i="1"/>
  <c r="AE63" i="1"/>
  <c r="J63" i="1"/>
  <c r="AF62" i="1"/>
  <c r="AE62" i="1"/>
  <c r="J62" i="1"/>
  <c r="AF61" i="1"/>
  <c r="AE61" i="1"/>
  <c r="J61" i="1"/>
  <c r="AF60" i="1"/>
  <c r="AE60" i="1"/>
  <c r="J60" i="1"/>
  <c r="AF59" i="1"/>
  <c r="AE59" i="1"/>
  <c r="J59" i="1"/>
  <c r="AF58" i="1"/>
  <c r="AE58" i="1"/>
  <c r="J58" i="1"/>
  <c r="AF56" i="1"/>
  <c r="AE56" i="1"/>
  <c r="J56" i="1"/>
  <c r="AF55" i="1"/>
  <c r="AE55" i="1"/>
  <c r="J55" i="1"/>
  <c r="AF54" i="1"/>
  <c r="AE54" i="1"/>
  <c r="J54" i="1"/>
  <c r="AF53" i="1"/>
  <c r="AE53" i="1"/>
  <c r="J53" i="1"/>
  <c r="AF52" i="1"/>
  <c r="AE52" i="1"/>
  <c r="J52" i="1"/>
  <c r="AF51" i="1"/>
  <c r="AE51" i="1"/>
  <c r="J51" i="1"/>
  <c r="AF50" i="1"/>
  <c r="AE50" i="1"/>
  <c r="J50" i="1"/>
  <c r="AF49" i="1"/>
  <c r="AE49" i="1"/>
  <c r="J49" i="1"/>
  <c r="AF48" i="1"/>
  <c r="AE48" i="1"/>
  <c r="J48" i="1"/>
  <c r="AF47" i="1"/>
  <c r="AE47" i="1"/>
  <c r="J47" i="1"/>
  <c r="AF46" i="1"/>
  <c r="AE46" i="1"/>
  <c r="J46" i="1"/>
  <c r="AF44" i="1"/>
  <c r="AE44" i="1"/>
  <c r="J44" i="1"/>
  <c r="AF43" i="1"/>
  <c r="AE43" i="1"/>
  <c r="J43" i="1"/>
  <c r="AF42" i="1"/>
  <c r="AE42" i="1"/>
  <c r="J42" i="1"/>
  <c r="AF41" i="1"/>
  <c r="AE41" i="1"/>
  <c r="J41" i="1"/>
  <c r="AF40" i="1"/>
  <c r="AE40" i="1"/>
  <c r="J40" i="1"/>
  <c r="AF39" i="1"/>
  <c r="AE39" i="1"/>
  <c r="J39" i="1"/>
  <c r="H120" i="1" l="1"/>
  <c r="J73" i="1"/>
  <c r="H104" i="1"/>
  <c r="H88" i="1"/>
  <c r="H129" i="1"/>
  <c r="H70" i="1"/>
  <c r="H46" i="1"/>
  <c r="H54" i="1"/>
  <c r="H39" i="1"/>
  <c r="H67" i="1"/>
  <c r="J78" i="1"/>
  <c r="H61" i="1"/>
  <c r="H90" i="1"/>
  <c r="H122" i="1"/>
  <c r="H80" i="1"/>
  <c r="J106" i="1"/>
  <c r="J111" i="1"/>
  <c r="H126" i="1"/>
  <c r="H131" i="1"/>
  <c r="J38" i="1"/>
  <c r="H40" i="1"/>
  <c r="H44" i="1"/>
  <c r="J45" i="1"/>
  <c r="H58" i="1"/>
  <c r="H62" i="1"/>
  <c r="H81" i="1"/>
  <c r="J87" i="1"/>
  <c r="H97" i="1"/>
  <c r="H112" i="1"/>
  <c r="J69" i="1"/>
  <c r="J64" i="1"/>
  <c r="H43" i="1"/>
  <c r="H53" i="1"/>
  <c r="H41" i="1"/>
  <c r="H60" i="1"/>
  <c r="H72" i="1"/>
  <c r="H89" i="1"/>
  <c r="H107" i="1"/>
  <c r="H113" i="1"/>
  <c r="H117" i="1"/>
  <c r="H123" i="1"/>
  <c r="H94" i="1"/>
  <c r="J93" i="1"/>
  <c r="J100" i="1"/>
  <c r="J124" i="1"/>
  <c r="H127" i="1"/>
  <c r="H49" i="1"/>
  <c r="J57" i="1"/>
  <c r="H77" i="1"/>
  <c r="J82" i="1"/>
  <c r="H109" i="1"/>
  <c r="H42" i="1"/>
  <c r="H59" i="1"/>
  <c r="H63" i="1"/>
  <c r="J76" i="1"/>
  <c r="H92" i="1"/>
  <c r="H99" i="1"/>
  <c r="H98" i="1" s="1"/>
  <c r="H101" i="1"/>
  <c r="H110" i="1"/>
  <c r="H130" i="1"/>
  <c r="H84" i="1"/>
  <c r="H96" i="1"/>
  <c r="H51" i="1"/>
  <c r="H48" i="1"/>
  <c r="H47" i="1"/>
  <c r="H50" i="1"/>
  <c r="H55" i="1"/>
  <c r="H56" i="1"/>
  <c r="H52" i="1"/>
  <c r="H68" i="1"/>
  <c r="H65" i="1"/>
  <c r="H71" i="1"/>
  <c r="H75" i="1"/>
  <c r="H74" i="1"/>
  <c r="H85" i="1"/>
  <c r="H86" i="1"/>
  <c r="H83" i="1"/>
  <c r="H79" i="1"/>
  <c r="H95" i="1"/>
  <c r="H105" i="1"/>
  <c r="H102" i="1"/>
  <c r="H103" i="1"/>
  <c r="H108" i="1"/>
  <c r="H116" i="1"/>
  <c r="H114" i="1"/>
  <c r="H119" i="1"/>
  <c r="H115" i="1"/>
  <c r="H132" i="1"/>
  <c r="H125" i="1"/>
  <c r="J98" i="1"/>
  <c r="AF37" i="1"/>
  <c r="AE37" i="1"/>
  <c r="J37" i="1"/>
  <c r="AF36" i="1"/>
  <c r="AE36" i="1"/>
  <c r="J36" i="1"/>
  <c r="AF35" i="1"/>
  <c r="AE35" i="1"/>
  <c r="J35" i="1"/>
  <c r="AF33" i="1"/>
  <c r="AE33" i="1"/>
  <c r="J33" i="1"/>
  <c r="AF31" i="1"/>
  <c r="AE31" i="1"/>
  <c r="J31" i="1"/>
  <c r="AF30" i="1"/>
  <c r="AE30" i="1"/>
  <c r="J30" i="1"/>
  <c r="AF29" i="1"/>
  <c r="AE29" i="1"/>
  <c r="J29" i="1"/>
  <c r="AF27" i="1"/>
  <c r="AE27" i="1"/>
  <c r="J27" i="1"/>
  <c r="AF26" i="1"/>
  <c r="AE26" i="1"/>
  <c r="J26" i="1"/>
  <c r="AF25" i="1"/>
  <c r="AE25" i="1"/>
  <c r="J25" i="1"/>
  <c r="AF24" i="1"/>
  <c r="AE24" i="1"/>
  <c r="J24" i="1"/>
  <c r="H23" i="1"/>
  <c r="AF16" i="1"/>
  <c r="AE16" i="1"/>
  <c r="J16" i="1"/>
  <c r="J15" i="1"/>
  <c r="J14" i="1"/>
  <c r="J13" i="1"/>
  <c r="J12" i="1"/>
  <c r="AF11" i="1"/>
  <c r="AE11" i="1"/>
  <c r="J11" i="1"/>
  <c r="AF10" i="1"/>
  <c r="AE10" i="1"/>
  <c r="J10" i="1"/>
  <c r="AF9" i="1"/>
  <c r="AE9" i="1"/>
  <c r="J9" i="1"/>
  <c r="AF8" i="1"/>
  <c r="AE8" i="1"/>
  <c r="J8" i="1"/>
  <c r="AF7" i="1"/>
  <c r="AE7" i="1"/>
  <c r="J7" i="1"/>
  <c r="AF6" i="1"/>
  <c r="AE6" i="1"/>
  <c r="J6" i="1"/>
  <c r="H6" i="1"/>
  <c r="AF5" i="1"/>
  <c r="AE5" i="1"/>
  <c r="J5" i="1"/>
  <c r="AF4" i="1"/>
  <c r="AE4" i="1"/>
  <c r="J4" i="1"/>
  <c r="AF3" i="1"/>
  <c r="AE3" i="1"/>
  <c r="J3" i="1"/>
  <c r="AF22" i="1"/>
  <c r="AE22" i="1"/>
  <c r="J22" i="1"/>
  <c r="AF21" i="1"/>
  <c r="AE21" i="1"/>
  <c r="J21" i="1"/>
  <c r="AF20" i="1"/>
  <c r="AE20" i="1"/>
  <c r="J20" i="1"/>
  <c r="AF19" i="1"/>
  <c r="AE19" i="1"/>
  <c r="J19" i="1"/>
  <c r="AF18" i="1"/>
  <c r="AE18" i="1"/>
  <c r="J18" i="1"/>
  <c r="H17" i="1"/>
  <c r="H69" i="1" l="1"/>
  <c r="H57" i="1"/>
  <c r="H87" i="1"/>
  <c r="H78" i="1"/>
  <c r="H106" i="1"/>
  <c r="J23" i="1"/>
  <c r="H124" i="1"/>
  <c r="C14" i="2" s="1"/>
  <c r="H76" i="1"/>
  <c r="J2" i="1"/>
  <c r="J34" i="1"/>
  <c r="J17" i="1"/>
  <c r="H111" i="1"/>
  <c r="H38" i="1"/>
  <c r="H100" i="1"/>
  <c r="H93" i="1"/>
  <c r="H45" i="1"/>
  <c r="H64" i="1"/>
  <c r="H73" i="1"/>
  <c r="C15" i="2" s="1"/>
  <c r="H82" i="1"/>
  <c r="H35" i="1"/>
  <c r="H37" i="1"/>
  <c r="H36" i="1"/>
  <c r="C21" i="2" l="1"/>
  <c r="H34" i="1"/>
  <c r="H150" i="1" l="1"/>
  <c r="C11" i="2"/>
  <c r="C16" i="2" l="1"/>
  <c r="C20" i="2" s="1"/>
  <c r="C22" i="2" s="1"/>
  <c r="C23" i="2" l="1"/>
  <c r="C24" i="2" s="1"/>
</calcChain>
</file>

<file path=xl/sharedStrings.xml><?xml version="1.0" encoding="utf-8"?>
<sst xmlns="http://schemas.openxmlformats.org/spreadsheetml/2006/main" count="698" uniqueCount="427">
  <si>
    <t>Č</t>
  </si>
  <si>
    <t xml:space="preserve"> 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</si>
  <si>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</si>
  <si>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</si>
  <si>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</si>
  <si>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</si>
  <si>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</si>
  <si>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</si>
  <si>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</si>
  <si>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</si>
  <si>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</si>
  <si>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</si>
  <si>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</si>
  <si>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</si>
  <si>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</si>
  <si>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</si>
  <si>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</si>
  <si>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</si>
  <si>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</si>
  <si>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</si>
  <si>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</si>
  <si>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</si>
  <si>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</si>
  <si>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</si>
  <si>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</si>
  <si>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</si>
  <si>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</si>
  <si>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</si>
  <si>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</si>
  <si>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</si>
  <si>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</si>
  <si>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</si>
  <si>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</si>
  <si>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</si>
  <si>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</si>
  <si>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</si>
  <si>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</si>
  <si>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</si>
  <si>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</si>
  <si>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</si>
  <si>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</si>
  <si>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</si>
  <si>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</si>
  <si>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</si>
  <si>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</si>
  <si>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</si>
  <si>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</si>
  <si>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</si>
  <si>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</si>
  <si>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</si>
  <si>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</si>
  <si>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</si>
  <si>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</si>
  <si>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</si>
  <si>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</si>
  <si>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</si>
  <si>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</si>
  <si>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</si>
  <si>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</si>
  <si>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</si>
  <si>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</si>
  <si>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</si>
  <si>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</si>
  <si>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</si>
  <si>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</si>
  <si>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</si>
  <si>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</si>
  <si>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</si>
  <si>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</si>
  <si>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</si>
  <si>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</si>
  <si>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</si>
  <si>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</si>
  <si>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</si>
  <si>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</si>
  <si>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</si>
  <si>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</si>
  <si>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</si>
  <si>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</si>
  <si>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</si>
  <si>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</si>
  <si>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</si>
  <si>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</si>
  <si>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</si>
  <si>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</si>
  <si>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</si>
  <si>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</si>
  <si>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</si>
  <si>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</si>
  <si>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</si>
  <si>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</si>
  <si>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</si>
  <si>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</si>
  <si>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</si>
  <si>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</si>
  <si>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</si>
  <si>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</si>
  <si>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</si>
  <si>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</si>
  <si>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</si>
  <si>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</si>
  <si>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</si>
  <si>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</si>
  <si>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</si>
  <si>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</si>
  <si>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</si>
  <si>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</si>
  <si>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</si>
  <si>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</si>
  <si>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</si>
  <si>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</si>
  <si>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</si>
  <si>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</si>
  <si>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</si>
  <si>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</si>
  <si>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</si>
  <si>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Obj</t>
  </si>
  <si>
    <t>Kód</t>
  </si>
  <si>
    <t>979082318R00</t>
  </si>
  <si>
    <t>979083191R00</t>
  </si>
  <si>
    <t>979087212R00</t>
  </si>
  <si>
    <t>979990001R00</t>
  </si>
  <si>
    <t>979990112R00</t>
  </si>
  <si>
    <t>111204311R00</t>
  </si>
  <si>
    <t>112107111R00</t>
  </si>
  <si>
    <t>112207111R00</t>
  </si>
  <si>
    <t>113107223R00</t>
  </si>
  <si>
    <t>113107232R00</t>
  </si>
  <si>
    <t>113107242R00</t>
  </si>
  <si>
    <t>119001421R00</t>
  </si>
  <si>
    <t>120901121R00</t>
  </si>
  <si>
    <t>121101101R00</t>
  </si>
  <si>
    <t>122101101R00</t>
  </si>
  <si>
    <t>131201101R00</t>
  </si>
  <si>
    <t>132201109R00</t>
  </si>
  <si>
    <t>132201111R00</t>
  </si>
  <si>
    <t>132201209R00</t>
  </si>
  <si>
    <t>132201211R00</t>
  </si>
  <si>
    <t>161101101R00</t>
  </si>
  <si>
    <t>162202111R00</t>
  </si>
  <si>
    <t>162301405R00</t>
  </si>
  <si>
    <t>162301415R00</t>
  </si>
  <si>
    <t>162301421R00</t>
  </si>
  <si>
    <t>162301501R00</t>
  </si>
  <si>
    <t>162301905R00</t>
  </si>
  <si>
    <t>162301915R00</t>
  </si>
  <si>
    <t>162301921R00</t>
  </si>
  <si>
    <t>162701103R00</t>
  </si>
  <si>
    <t>167101102R00</t>
  </si>
  <si>
    <t>171201101R00</t>
  </si>
  <si>
    <t>171204111R00</t>
  </si>
  <si>
    <t>174101101R00</t>
  </si>
  <si>
    <t>175100020RA0</t>
  </si>
  <si>
    <t>180402111R00</t>
  </si>
  <si>
    <t>181101102R00</t>
  </si>
  <si>
    <t>182301122R00</t>
  </si>
  <si>
    <t>212571121R00</t>
  </si>
  <si>
    <t>212572111R00</t>
  </si>
  <si>
    <t>213151121R00</t>
  </si>
  <si>
    <t>998225111R00</t>
  </si>
  <si>
    <t>998225394R00</t>
  </si>
  <si>
    <t>275313611R00</t>
  </si>
  <si>
    <t>451572111RK1</t>
  </si>
  <si>
    <t>452311141R00</t>
  </si>
  <si>
    <t>457971111R00</t>
  </si>
  <si>
    <t>460200243RT2</t>
  </si>
  <si>
    <t>460510271RT1</t>
  </si>
  <si>
    <t>460560243RT1</t>
  </si>
  <si>
    <t>460600001RT6</t>
  </si>
  <si>
    <t>564851111R00</t>
  </si>
  <si>
    <t>565151211R00</t>
  </si>
  <si>
    <t>573211111R00</t>
  </si>
  <si>
    <t>577132111R00</t>
  </si>
  <si>
    <t>596215020R00</t>
  </si>
  <si>
    <t>870200010R00</t>
  </si>
  <si>
    <t>871111103R00</t>
  </si>
  <si>
    <t>871318111R00</t>
  </si>
  <si>
    <t>871353121R00</t>
  </si>
  <si>
    <t>877363123R00</t>
  </si>
  <si>
    <t>894211121R00</t>
  </si>
  <si>
    <t>895941311RT2</t>
  </si>
  <si>
    <t>899103111RT2</t>
  </si>
  <si>
    <t>899203111RT2</t>
  </si>
  <si>
    <t>914001111R00</t>
  </si>
  <si>
    <t>915491211R00</t>
  </si>
  <si>
    <t>915711111R00</t>
  </si>
  <si>
    <t>915721111R00</t>
  </si>
  <si>
    <t>915791111R00</t>
  </si>
  <si>
    <t>915791112R00</t>
  </si>
  <si>
    <t>917862111R00</t>
  </si>
  <si>
    <t>919726213R00</t>
  </si>
  <si>
    <t>919735112R00</t>
  </si>
  <si>
    <t>00572451</t>
  </si>
  <si>
    <t>28611223</t>
  </si>
  <si>
    <t>28611326.A</t>
  </si>
  <si>
    <t>28614271</t>
  </si>
  <si>
    <t>28614272</t>
  </si>
  <si>
    <t>28651713.A</t>
  </si>
  <si>
    <t>40445020.A</t>
  </si>
  <si>
    <t>40445044.A</t>
  </si>
  <si>
    <t>40445050.A</t>
  </si>
  <si>
    <t>40445141.A</t>
  </si>
  <si>
    <t>40445961</t>
  </si>
  <si>
    <t>40445962.AR</t>
  </si>
  <si>
    <t>40445964.A</t>
  </si>
  <si>
    <t>58333665</t>
  </si>
  <si>
    <t>592162116</t>
  </si>
  <si>
    <t>59217010</t>
  </si>
  <si>
    <t>592171530</t>
  </si>
  <si>
    <t>59217476</t>
  </si>
  <si>
    <t>59245308</t>
  </si>
  <si>
    <t>67390523</t>
  </si>
  <si>
    <t>67390526</t>
  </si>
  <si>
    <t>Zkrácený popis</t>
  </si>
  <si>
    <t>Přesuny sutí</t>
  </si>
  <si>
    <t>Vodorovná doprava suti a hmot po suchu do 6000 m</t>
  </si>
  <si>
    <t>Příplatek za dalších započatých 1000 m nad 6000 m</t>
  </si>
  <si>
    <t>Nakládání suti na dopravní prostředky</t>
  </si>
  <si>
    <t>Poplatek za skládku stavební suti beton</t>
  </si>
  <si>
    <t>Poplatek za skládku suti - obalovaný asfalt</t>
  </si>
  <si>
    <t>Předání a převzetí staveniště</t>
  </si>
  <si>
    <t>Náklady na zkoušky a revize</t>
  </si>
  <si>
    <t>Přípravné a přidružené práce</t>
  </si>
  <si>
    <t>Odstraneni krovin a stromu d 10cm</t>
  </si>
  <si>
    <t>Kácení stromů D do 30 cm - situace</t>
  </si>
  <si>
    <t>Odstraneni parezu d 30cm</t>
  </si>
  <si>
    <t>Odstranění podkladu nad 200 m2, beton, tl.do 30 cm</t>
  </si>
  <si>
    <t>Odstranění podkladu nad 200 m2, živičného tl.10 cm</t>
  </si>
  <si>
    <t>Dočasné zajištění kabelů - do počtu 3 kabelů - el, + VO,</t>
  </si>
  <si>
    <t>Odkopávky a prokopávky</t>
  </si>
  <si>
    <t>Bourání konstrukcí z prostého betonu - patky a část základů skladu</t>
  </si>
  <si>
    <t>Sejmutí ornice - drnu s přemístěním do 50 m</t>
  </si>
  <si>
    <t>Odkopávky nezapažené v hor. 2 do 100 m3</t>
  </si>
  <si>
    <t>Hloubené vykopávky</t>
  </si>
  <si>
    <t>Hloubení nezapažených jam v hor.3 do 100 m3 (DZ)</t>
  </si>
  <si>
    <t>Příplatek za lepivost - hloubení rýh 60 cm v hor.3</t>
  </si>
  <si>
    <t>Hloubení rýh š.do 60 cm v hor.3 do 100 m3, STROJNĚ - drenáž</t>
  </si>
  <si>
    <t>Hloubení rýh š.do 60 cm v hor.3 do 100 m3, STROJNĚ - příp. vpustí</t>
  </si>
  <si>
    <t>Příplatek za lepivost - hloubení rýh 200cm v hor.3</t>
  </si>
  <si>
    <t>Hloubení rýh š.do 200 cm hor.3 do 100 m3,STROJNĚ - kanalizace</t>
  </si>
  <si>
    <t>Přemístění výkopku</t>
  </si>
  <si>
    <t>Svislé přemístění výkopku z hor.1-4 do 2,5 m</t>
  </si>
  <si>
    <t>Vodorovné přemístění drnu do 100 m na staveništi</t>
  </si>
  <si>
    <t>Vod.přemístění větví jehlič., D 30cm  do 5000 m</t>
  </si>
  <si>
    <t>Vod.přemístění kmenů jehlič., D 30cm  do 5000 m</t>
  </si>
  <si>
    <t>Vodorovné přemístění pařezů  D 30 cm do 5000 m</t>
  </si>
  <si>
    <t>Vodorovné přemístění křovin do  5000 m</t>
  </si>
  <si>
    <t>Příplatek za dalších 5000m - větve jehlič. D 30cm</t>
  </si>
  <si>
    <t>Příplatek za dalších 5000m - kmeny jehlič. D 30cm</t>
  </si>
  <si>
    <t>Příplatek za dalších 5000m - pařezy D 30cm</t>
  </si>
  <si>
    <t>Vodorovné přemístění výkopku z hor.1-4 do 8000 m + zbytek drnu</t>
  </si>
  <si>
    <t>Nakládání výkopku z hor.1-4 v množství nad 100 m3</t>
  </si>
  <si>
    <t>Konstrukce ze zemin</t>
  </si>
  <si>
    <t>Uložení drnu  na deponii v místě stavby</t>
  </si>
  <si>
    <t>Ulozeni sypaniny bez zhut na skl</t>
  </si>
  <si>
    <t>Poplatek za ulozeni sypaniny</t>
  </si>
  <si>
    <t>Zásyp jam, rýh, šachet se zhutněním</t>
  </si>
  <si>
    <t>Obsyp potrubí štěrkopískem kanal.</t>
  </si>
  <si>
    <t>Obsyp potrubí štěrkopískem přípojky vpustí</t>
  </si>
  <si>
    <t>Povrchové úpravy terénu</t>
  </si>
  <si>
    <t>Založení trávníku parkového výsevem v rovině</t>
  </si>
  <si>
    <t>Úprava pláně v zářezech v hor. 1-4, se zhutněním</t>
  </si>
  <si>
    <t>Rozprostření ornice, drnu ,svah, tl. 10-15 cm, do 500 m2</t>
  </si>
  <si>
    <t>Úprava podloží a základové spáry</t>
  </si>
  <si>
    <t>Výplň odvodňov. trativodů kamen. drobným těženým</t>
  </si>
  <si>
    <t>Lože trativodu ze štěrkopísku tříděného</t>
  </si>
  <si>
    <t>Komunikace pozemní a letiště</t>
  </si>
  <si>
    <t>Přesun hmot, pozemní komunikace, kryt živičný</t>
  </si>
  <si>
    <t>Přesun hmot, oprava komunikací, příplatek do 5 km</t>
  </si>
  <si>
    <t>Základy</t>
  </si>
  <si>
    <t>Beton základ. patek prostý C 16/20 (B 20) - patky DZ</t>
  </si>
  <si>
    <t>Podkladní a vedlejší konstrukce (kromě vozovek a železničního svršku)</t>
  </si>
  <si>
    <t>Lože pod potrubí z kameniva těženého 0 - 4 mm</t>
  </si>
  <si>
    <t>Desky podkladní pod potrubí z betonu C 16/20 - šachty</t>
  </si>
  <si>
    <t>Zemní práce při montážích</t>
  </si>
  <si>
    <t>Výkop kabelové rýhy 50/60 cm  hor.3 pro chráničku</t>
  </si>
  <si>
    <t>D a M žlabu kabelového a chr. Sitel pro plynovod</t>
  </si>
  <si>
    <t>Zához rýhy 50/60 cm, hornina třídy 3 štěrkopískem</t>
  </si>
  <si>
    <t>Naložení a odvoz zeminy do 8km</t>
  </si>
  <si>
    <t>Podkladní vrstvy komunikací a zpevněných ploch</t>
  </si>
  <si>
    <t>Podklad ze štěrkodrti po zhutnění tl. 15 cm ŠDa</t>
  </si>
  <si>
    <t>Podklad ze štěrkodrti po zhutnění tl. 15 cm ŠDb</t>
  </si>
  <si>
    <t>Podklad kamen. obal. asfaltem tř.1 nad 3 m,tl.7 cm  ACP16+</t>
  </si>
  <si>
    <t>Kryty štěrkových a živičných pozemních komunikací a zpevněných ploch</t>
  </si>
  <si>
    <t>Postřik živičný spojovací z asfaltu 0,5-0,7 kg/m2</t>
  </si>
  <si>
    <t>Beton asfaltový ACO 11 S (ABS I) nad 3 m, tl. 4 cm</t>
  </si>
  <si>
    <t>Dlažby a předlažby pozemních komunikací a zpevněných ploch</t>
  </si>
  <si>
    <t>Kladení zámkové dlažby tl. 6 cm do drtě tl. 3 cm</t>
  </si>
  <si>
    <t>Potrubí z trub plastických, skleněných a čedičových</t>
  </si>
  <si>
    <t>M.plast.potrubí ve výkopu na gum.těsnění DN 250 mm</t>
  </si>
  <si>
    <t>Kladení drenážního potrubí z plastických hmot</t>
  </si>
  <si>
    <t>Montáž trub z tvrdého PVC, gumový kroužek, DN 200 - vpusti</t>
  </si>
  <si>
    <t>Montáž tvarovek jednoos. z PVC gum.kroužek DN 250</t>
  </si>
  <si>
    <t>Ostatní konstrukce a práce na trubním vedení</t>
  </si>
  <si>
    <t>Šachty z betonu kruhové, dno B 30, potrubí DN 300</t>
  </si>
  <si>
    <t>D a M osazení poklopu šachty s rámem do 150 kg D 600</t>
  </si>
  <si>
    <t>D a M osazení mříží PVC + litinový rám do 150 kg D400</t>
  </si>
  <si>
    <t>Doplňující konstrukce a práce na pozemních komunikacích a zpevněných plochách</t>
  </si>
  <si>
    <t>Montáž svislých dopr.značek na sloupky</t>
  </si>
  <si>
    <t>Osazení vodícího proužku do MC,podkl.B12,5, 25 cm</t>
  </si>
  <si>
    <t>Vodorovné značení dělících čar 12 cm střík.barvou</t>
  </si>
  <si>
    <t>Vodorovné značení střík.barvou stopčar,zeber atd.</t>
  </si>
  <si>
    <t>Předznačení pro značení dělící čáry,vodící proužky</t>
  </si>
  <si>
    <t>Předznačení pro značení stopčáry, zebry, nápisů</t>
  </si>
  <si>
    <t>Osazení stojat. obrub. bet. s opěrou,lože z B 12,5 obr. 15/15</t>
  </si>
  <si>
    <t>Těsnění spár krytu asfalt. zálivkou za tepla</t>
  </si>
  <si>
    <t>Řezání stávajícího živičného krytu tl. 5 - 10 cm</t>
  </si>
  <si>
    <t>Ostatní materiál</t>
  </si>
  <si>
    <t>Trubka PVC-U drenážní flexibilní DN 100 mm</t>
  </si>
  <si>
    <t>Zátka PVC d 100 mm pro drenážní trubky</t>
  </si>
  <si>
    <t>Značka doprav zákazová B1-B34 500 fól 1, EG 7letá - B2</t>
  </si>
  <si>
    <t>Značka dopr inf IP 4b-7,10a,b 500/500 fól1,EG7letá - IP 4b</t>
  </si>
  <si>
    <t>Značka dopr inf IP 11-13 500/700 fól1, EG7letá - IP12</t>
  </si>
  <si>
    <t>Značka dopr dodat E1,2a,b 500/500 fól 1, EG 7letá - dodatková E1</t>
  </si>
  <si>
    <t>Sloupek Al 60/5 hladký drážkový</t>
  </si>
  <si>
    <t>Dopravní příslušenství, patka AL 4 ks kot šroubů</t>
  </si>
  <si>
    <t>Dopravní příslušenství, kotevní šroub M16x500</t>
  </si>
  <si>
    <t>Kamenivo  těžené frakce 22-32 kačírek praný  VL</t>
  </si>
  <si>
    <t>Obrubník silniční betonový 150x250x1000 mm</t>
  </si>
  <si>
    <t>Obrubník silniční nájezdový 1000/150/150 šedý</t>
  </si>
  <si>
    <t>M.j.</t>
  </si>
  <si>
    <t>t</t>
  </si>
  <si>
    <t>m3</t>
  </si>
  <si>
    <t>m2</t>
  </si>
  <si>
    <t>kus</t>
  </si>
  <si>
    <t>m</t>
  </si>
  <si>
    <t>kg</t>
  </si>
  <si>
    <t>Množství</t>
  </si>
  <si>
    <t>Jednotková cena (Kč)</t>
  </si>
  <si>
    <t>Celkem:</t>
  </si>
  <si>
    <t>Náklady celkem (Kč)</t>
  </si>
  <si>
    <t>VN</t>
  </si>
  <si>
    <t>Vedlejší náklady</t>
  </si>
  <si>
    <t>005121011R</t>
  </si>
  <si>
    <t>Vybudování zařízení staveniště pro JKSO 801 až 803</t>
  </si>
  <si>
    <t>soub.</t>
  </si>
  <si>
    <t>005121021R</t>
  </si>
  <si>
    <t>Provoz zařízení staveniště pro JKSO 801 až 803</t>
  </si>
  <si>
    <t>005121031R</t>
  </si>
  <si>
    <t>Odstranění zařízení staveniště pro JKSO 801 až 803</t>
  </si>
  <si>
    <t>ON</t>
  </si>
  <si>
    <t>Ostatní náklady</t>
  </si>
  <si>
    <t>005211010R</t>
  </si>
  <si>
    <t>005211020R</t>
  </si>
  <si>
    <t>00524 R</t>
  </si>
  <si>
    <t>Předání a převzetí díla</t>
  </si>
  <si>
    <t>005241010R</t>
  </si>
  <si>
    <t xml:space="preserve">Dokumentace skutečného provedení </t>
  </si>
  <si>
    <t>005261010R</t>
  </si>
  <si>
    <t>Pojištění dodavatele a pojištění díla</t>
  </si>
  <si>
    <t>005261021R</t>
  </si>
  <si>
    <t>Bankovní záruky za řádné provedení díla</t>
  </si>
  <si>
    <t>005261022R</t>
  </si>
  <si>
    <t>Bankovní záruky za splnění záručních podmínek</t>
  </si>
  <si>
    <t>005281010R</t>
  </si>
  <si>
    <t>Propagace</t>
  </si>
  <si>
    <t>005211080R</t>
  </si>
  <si>
    <t xml:space="preserve">Bezpečnostní a hygienická opatření na staveništi </t>
  </si>
  <si>
    <t>116</t>
  </si>
  <si>
    <t>005211090R</t>
  </si>
  <si>
    <t>117</t>
  </si>
  <si>
    <t>Krycí list rozpočtu</t>
  </si>
  <si>
    <t>Název stavby:</t>
  </si>
  <si>
    <t>NPK,a.s., Chrudimská nemocnice - Parkoviště</t>
  </si>
  <si>
    <t>Druh stavby:</t>
  </si>
  <si>
    <t>Lokalita:</t>
  </si>
  <si>
    <t>Rozpočtové náklady v Kč</t>
  </si>
  <si>
    <t>HSV</t>
  </si>
  <si>
    <t>PSV</t>
  </si>
  <si>
    <t>"M"</t>
  </si>
  <si>
    <t>Přesun hmot a sutí</t>
  </si>
  <si>
    <t>ZRN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</si>
  <si>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</si>
  <si>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</si>
  <si>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</si>
  <si>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</si>
  <si>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</si>
  <si>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</si>
  <si>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</si>
  <si>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Základní rozpočtové náklady v Kč</t>
  </si>
  <si>
    <t>areál NPK, a.s., Chrudimské nemocnice</t>
  </si>
  <si>
    <t>Václavská 570, 537 27 Chrudim</t>
  </si>
  <si>
    <t>parkoviště</t>
  </si>
  <si>
    <t>Ochrana stávajících inženýrských sítí na staveništi</t>
  </si>
  <si>
    <t>Jednotková hmotnost (t)</t>
  </si>
  <si>
    <t>Celková hmotnost (t)</t>
  </si>
  <si>
    <t>113107231R00</t>
  </si>
  <si>
    <t xml:space="preserve">Odstranění podkladu nad 200 m2,beton tl.do 15 cm </t>
  </si>
  <si>
    <t>113202111R00</t>
  </si>
  <si>
    <t>Vytrhání obrub a krajníků stojatých</t>
  </si>
  <si>
    <t>566201111R00</t>
  </si>
  <si>
    <t>Úprava - vyrovnání krytu kamenivem drc. do 0,04 m3/m2</t>
  </si>
  <si>
    <t>916561111R00</t>
  </si>
  <si>
    <t>Osazení záhon. obrubníků do lože z B12,5 s opěrou</t>
  </si>
  <si>
    <t>Osazení stojat. obrub. bet. s opěrou,lože z B 12,5, 15/25</t>
  </si>
  <si>
    <t>919735124R00</t>
  </si>
  <si>
    <t>Řezání stávajícího betonového krytu tl. 15 - 20 cm</t>
  </si>
  <si>
    <t>Trubka kanalizační 200x6000 mm PP hrdlová min. SN10</t>
  </si>
  <si>
    <t>28614253</t>
  </si>
  <si>
    <t>Trubka kanalizační 200x2000 mm PP hrdlová min. SN10</t>
  </si>
  <si>
    <t>118</t>
  </si>
  <si>
    <t>119</t>
  </si>
  <si>
    <t>120</t>
  </si>
  <si>
    <t>121</t>
  </si>
  <si>
    <t>59217335</t>
  </si>
  <si>
    <t>122</t>
  </si>
  <si>
    <t>59245267</t>
  </si>
  <si>
    <t>123</t>
  </si>
  <si>
    <t>124</t>
  </si>
  <si>
    <t>181006122R00</t>
  </si>
  <si>
    <t>Rozprostření těž. kamene - kačírku</t>
  </si>
  <si>
    <t>Zřízení vrstvy z geotextilie skl.do 1:5, š. do 3m pod kačírek</t>
  </si>
  <si>
    <t>Výřez sedla pro kanalizační přípojky DN 200-250</t>
  </si>
  <si>
    <t>Zřízení vpusti uliční bet. z dílců DN 50  včetně dodávky</t>
  </si>
  <si>
    <t xml:space="preserve">Směs travní sadová II.- střední zátěž </t>
  </si>
  <si>
    <t>Trubka kanalizační SN 10 250x6000 mm PP hrdlová</t>
  </si>
  <si>
    <t>Odbočka kanalizační SN 10 250/ 200/45° PVC</t>
  </si>
  <si>
    <t>Přídlažba silniční nízká 50/25/8 přírodní</t>
  </si>
  <si>
    <t>Obrubník silniční zaoblený v.=25, R0,5 vnitřní, přírodní</t>
  </si>
  <si>
    <t>Obrubník zahradní betonový  100/50/250</t>
  </si>
  <si>
    <t>Dlažba betonová zámková červená pro nevid. 20x10x6</t>
  </si>
  <si>
    <t>Dlažba betonová zámková přírodní  20x10x6</t>
  </si>
  <si>
    <t>Textilie jutařská netkaná -170 g/m2</t>
  </si>
  <si>
    <t>Textilie jutařská netkaná - 300 g/m2</t>
  </si>
  <si>
    <t>Odstr. podkl. nad 200 m2,kam.drcené tl.30 cm - ponechat</t>
  </si>
  <si>
    <t>Montáž geotextílie trativodu</t>
  </si>
  <si>
    <t>Poznámka: Komentář k obsahu položek "Vedlejší náklady" a Oostatní náklady" je přiložen na konci průvodní a souhrnné technické zprávy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</si>
</sst>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61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Font="1" applyAlignment="1">
      <alignment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vertical="center"/>
    </xf>
    <xf numFmtId="0" fontId="11" fillId="2" borderId="5" xfId="0" applyNumberFormat="1" applyFont="1" applyFill="1" applyBorder="1" applyAlignment="1" applyProtection="1">
      <alignment horizontal="left" vertical="center"/>
    </xf>
    <xf numFmtId="49" fontId="12" fillId="0" borderId="1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12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1" fillId="0" borderId="7" xfId="0" applyNumberFormat="1" applyFont="1" applyFill="1" applyBorder="1" applyAlignment="1" applyProtection="1">
      <alignment horizontal="left" vertical="center"/>
    </xf>
    <xf numFmtId="0" fontId="1" fillId="0" borderId="19" xfId="0" applyFont="1" applyBorder="1" applyAlignment="1">
      <alignment vertical="center"/>
    </xf>
    <xf numFmtId="49" fontId="7" fillId="0" borderId="20" xfId="0" applyNumberFormat="1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0" fontId="1" fillId="0" borderId="26" xfId="0" applyFont="1" applyBorder="1" applyAlignment="1">
      <alignment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Fill="1" applyBorder="1" applyAlignment="1" applyProtection="1">
      <alignment horizontal="left" vertical="center"/>
    </xf>
    <xf numFmtId="0" fontId="10" fillId="0" borderId="23" xfId="0" applyNumberFormat="1" applyFont="1" applyFill="1" applyBorder="1" applyAlignment="1" applyProtection="1">
      <alignment horizontal="left" vertical="center"/>
    </xf>
    <xf numFmtId="49" fontId="11" fillId="0" borderId="22" xfId="0" applyNumberFormat="1" applyFont="1" applyFill="1" applyBorder="1" applyAlignment="1" applyProtection="1">
      <alignment horizontal="left" vertical="center"/>
    </xf>
    <xf numFmtId="4" fontId="12" fillId="0" borderId="27" xfId="0" applyNumberFormat="1" applyFont="1" applyFill="1" applyBorder="1" applyAlignment="1" applyProtection="1">
      <alignment horizontal="right" vertical="center"/>
    </xf>
    <xf numFmtId="49" fontId="11" fillId="0" borderId="26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vertical="center"/>
    </xf>
    <xf numFmtId="0" fontId="8" fillId="0" borderId="27" xfId="0" applyNumberFormat="1" applyFont="1" applyFill="1" applyBorder="1" applyAlignment="1" applyProtection="1">
      <alignment vertical="center"/>
    </xf>
    <xf numFmtId="49" fontId="11" fillId="2" borderId="26" xfId="0" applyNumberFormat="1" applyFont="1" applyFill="1" applyBorder="1" applyAlignment="1" applyProtection="1">
      <alignment horizontal="left" vertical="center"/>
    </xf>
    <xf numFmtId="4" fontId="11" fillId="2" borderId="27" xfId="0" applyNumberFormat="1" applyFont="1" applyFill="1" applyBorder="1" applyAlignment="1" applyProtection="1">
      <alignment horizontal="right" vertical="center"/>
    </xf>
    <xf numFmtId="49" fontId="11" fillId="2" borderId="28" xfId="0" applyNumberFormat="1" applyFont="1" applyFill="1" applyBorder="1" applyAlignment="1" applyProtection="1">
      <alignment horizontal="left" vertical="center"/>
    </xf>
    <xf numFmtId="0" fontId="11" fillId="2" borderId="8" xfId="0" applyNumberFormat="1" applyFont="1" applyFill="1" applyBorder="1" applyAlignment="1" applyProtection="1">
      <alignment horizontal="left" vertical="center"/>
    </xf>
    <xf numFmtId="4" fontId="11" fillId="2" borderId="29" xfId="0" applyNumberFormat="1" applyFont="1" applyFill="1" applyBorder="1" applyAlignment="1" applyProtection="1">
      <alignment horizontal="right" vertical="center"/>
    </xf>
    <xf numFmtId="49" fontId="12" fillId="0" borderId="22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/>
    </xf>
    <xf numFmtId="0" fontId="12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49" fontId="12" fillId="0" borderId="11" xfId="0" applyNumberFormat="1" applyFont="1" applyFill="1" applyBorder="1" applyAlignment="1" applyProtection="1">
      <alignment horizontal="left"/>
    </xf>
    <xf numFmtId="0" fontId="12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5" fillId="0" borderId="6" xfId="0" applyNumberFormat="1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6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4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right" vertical="center" wrapText="1"/>
    </xf>
    <xf numFmtId="4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6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horizontal="right" vertical="center" wrapText="1"/>
    </xf>
    <xf numFmtId="4" fontId="3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</xf>
    <xf numFmtId="4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7" xfId="0" applyNumberFormat="1" applyFont="1" applyFill="1" applyBorder="1" applyAlignment="1" applyProtection="1">
      <alignment horizontal="left" vertical="center" wrapText="1"/>
    </xf>
    <xf numFmtId="49" fontId="4" fillId="0" borderId="17" xfId="0" applyNumberFormat="1" applyFont="1" applyFill="1" applyBorder="1" applyAlignment="1" applyProtection="1">
      <alignment horizontal="center" vertical="center" wrapText="1"/>
    </xf>
    <xf numFmtId="4" fontId="4" fillId="0" borderId="17" xfId="0" applyNumberFormat="1" applyFont="1" applyFill="1" applyBorder="1" applyAlignment="1" applyProtection="1">
      <alignment horizontal="right" vertical="center" wrapText="1"/>
    </xf>
    <xf numFmtId="4" fontId="4" fillId="4" borderId="1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left" vertical="center" wrapText="1"/>
      <protection locked="0"/>
    </xf>
    <xf numFmtId="4" fontId="2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NumberFormat="1" applyFont="1" applyAlignment="1" applyProtection="1">
      <alignment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top" wrapText="1"/>
    </xf>
    <xf numFmtId="49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00000"/>
      <rgbColor rgb="0000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5"/>
  <sheetViews>
    <sheetView topLeftCell="A133" zoomScaleNormal="100" workbookViewId="0">
      <selection activeCell="I135" sqref="I135"/>
    </sheetView>
  </sheetViews>
  <sheetFormatPr defaultColWidth="9.140625" defaultRowHeight="12.75" x14ac:dyDescent="0.2"/>
  <cols>
    <col min="1" max="1" width="3.7109375" style="90" customWidth="1"/>
    <col min="2" max="2" width="4.28515625" style="44" customWidth="1"/>
    <col min="3" max="3" width="15.5703125" style="90" customWidth="1"/>
    <col min="4" max="4" width="50.42578125" style="44" customWidth="1"/>
    <col min="5" max="5" width="5.5703125" style="90" customWidth="1"/>
    <col min="6" max="6" width="9.7109375" style="44" customWidth="1"/>
    <col min="7" max="7" width="13" style="44" customWidth="1"/>
    <col min="8" max="8" width="14.7109375" style="44" customWidth="1"/>
    <col min="9" max="9" width="12.85546875" style="44" customWidth="1"/>
    <col min="10" max="10" width="12" style="44" customWidth="1"/>
    <col min="11" max="30" width="11.42578125" style="44"/>
    <col min="31" max="32" width="12.140625" style="44" hidden="1" customWidth="1"/>
    <col min="33" max="16384" width="9.140625" style="44"/>
  </cols>
  <sheetData>
    <row r="1" spans="1:32" ht="28.5" customHeight="1" thickBot="1" x14ac:dyDescent="0.25">
      <c r="A1" s="102" t="s">
        <v>0</v>
      </c>
      <c r="B1" s="102" t="s">
        <v>116</v>
      </c>
      <c r="C1" s="102" t="s">
        <v>117</v>
      </c>
      <c r="D1" s="102" t="s">
        <v>213</v>
      </c>
      <c r="E1" s="102" t="s">
        <v>320</v>
      </c>
      <c r="F1" s="102" t="s">
        <v>327</v>
      </c>
      <c r="G1" s="102" t="s">
        <v>328</v>
      </c>
      <c r="H1" s="102" t="s">
        <v>330</v>
      </c>
      <c r="I1" s="102" t="s">
        <v>384</v>
      </c>
      <c r="J1" s="102" t="s">
        <v>385</v>
      </c>
      <c r="K1" s="43"/>
    </row>
    <row r="2" spans="1:32" ht="15" customHeight="1" x14ac:dyDescent="0.2">
      <c r="A2" s="97" t="s">
        <v>1</v>
      </c>
      <c r="B2" s="59" t="s">
        <v>1</v>
      </c>
      <c r="C2" s="61" t="s">
        <v>331</v>
      </c>
      <c r="D2" s="60" t="s">
        <v>332</v>
      </c>
      <c r="E2" s="61" t="s">
        <v>1</v>
      </c>
      <c r="F2" s="62" t="s">
        <v>1</v>
      </c>
      <c r="G2" s="63" t="s">
        <v>1</v>
      </c>
      <c r="H2" s="64">
        <f>SUM(H3:H5)</f>
        <v>0</v>
      </c>
      <c r="I2" s="63" t="s">
        <v>1</v>
      </c>
      <c r="J2" s="65">
        <f>SUM(J3:J16)</f>
        <v>0</v>
      </c>
    </row>
    <row r="3" spans="1:32" ht="15" customHeight="1" x14ac:dyDescent="0.2">
      <c r="A3" s="96" t="s">
        <v>2</v>
      </c>
      <c r="B3" s="51"/>
      <c r="C3" s="53" t="s">
        <v>333</v>
      </c>
      <c r="D3" s="52" t="s">
        <v>334</v>
      </c>
      <c r="E3" s="53" t="s">
        <v>335</v>
      </c>
      <c r="F3" s="54">
        <v>1</v>
      </c>
      <c r="G3" s="55">
        <v>0</v>
      </c>
      <c r="H3" s="56">
        <f>F3*G3</f>
        <v>0</v>
      </c>
      <c r="I3" s="56">
        <v>0</v>
      </c>
      <c r="J3" s="57">
        <f t="shared" ref="J3:J16" si="0">I3*F3</f>
        <v>0</v>
      </c>
      <c r="AE3" s="58">
        <f t="shared" ref="AE3:AE16" si="1">G3*0</f>
        <v>0</v>
      </c>
      <c r="AF3" s="58">
        <f t="shared" ref="AF3:AF16" si="2">G3*(1-0)</f>
        <v>0</v>
      </c>
    </row>
    <row r="4" spans="1:32" ht="15" customHeight="1" x14ac:dyDescent="0.2">
      <c r="A4" s="103">
        <v>2</v>
      </c>
      <c r="B4" s="51"/>
      <c r="C4" s="53" t="s">
        <v>336</v>
      </c>
      <c r="D4" s="52" t="s">
        <v>337</v>
      </c>
      <c r="E4" s="53" t="s">
        <v>335</v>
      </c>
      <c r="F4" s="54">
        <v>1</v>
      </c>
      <c r="G4" s="55">
        <v>0</v>
      </c>
      <c r="H4" s="56">
        <f t="shared" ref="H4:H5" si="3">F4*G4</f>
        <v>0</v>
      </c>
      <c r="I4" s="56">
        <v>0</v>
      </c>
      <c r="J4" s="57">
        <f t="shared" si="0"/>
        <v>0</v>
      </c>
      <c r="AE4" s="58">
        <f t="shared" si="1"/>
        <v>0</v>
      </c>
      <c r="AF4" s="58">
        <f t="shared" si="2"/>
        <v>0</v>
      </c>
    </row>
    <row r="5" spans="1:32" ht="15" customHeight="1" x14ac:dyDescent="0.2">
      <c r="A5" s="96" t="s">
        <v>3</v>
      </c>
      <c r="B5" s="51"/>
      <c r="C5" s="53" t="s">
        <v>338</v>
      </c>
      <c r="D5" s="52" t="s">
        <v>339</v>
      </c>
      <c r="E5" s="53" t="s">
        <v>335</v>
      </c>
      <c r="F5" s="54">
        <v>1</v>
      </c>
      <c r="G5" s="55">
        <v>0</v>
      </c>
      <c r="H5" s="56">
        <f t="shared" si="3"/>
        <v>0</v>
      </c>
      <c r="I5" s="56">
        <v>0</v>
      </c>
      <c r="J5" s="57">
        <f t="shared" si="0"/>
        <v>0</v>
      </c>
      <c r="AE5" s="58">
        <f t="shared" si="1"/>
        <v>0</v>
      </c>
      <c r="AF5" s="58">
        <f t="shared" si="2"/>
        <v>0</v>
      </c>
    </row>
    <row r="6" spans="1:32" ht="15" customHeight="1" x14ac:dyDescent="0.2">
      <c r="A6" s="98"/>
      <c r="B6" s="66"/>
      <c r="C6" s="100" t="s">
        <v>340</v>
      </c>
      <c r="D6" s="67" t="s">
        <v>341</v>
      </c>
      <c r="E6" s="68"/>
      <c r="F6" s="69"/>
      <c r="G6" s="70"/>
      <c r="H6" s="71">
        <f>SUM(H7:H16)</f>
        <v>0</v>
      </c>
      <c r="I6" s="70">
        <v>0</v>
      </c>
      <c r="J6" s="72">
        <f t="shared" si="0"/>
        <v>0</v>
      </c>
      <c r="AE6" s="58">
        <f t="shared" si="1"/>
        <v>0</v>
      </c>
      <c r="AF6" s="58">
        <f t="shared" si="2"/>
        <v>0</v>
      </c>
    </row>
    <row r="7" spans="1:32" ht="15" customHeight="1" x14ac:dyDescent="0.2">
      <c r="A7" s="96" t="s">
        <v>4</v>
      </c>
      <c r="B7" s="51"/>
      <c r="C7" s="53" t="s">
        <v>342</v>
      </c>
      <c r="D7" s="52" t="s">
        <v>220</v>
      </c>
      <c r="E7" s="53" t="s">
        <v>335</v>
      </c>
      <c r="F7" s="54">
        <v>1</v>
      </c>
      <c r="G7" s="55">
        <v>0</v>
      </c>
      <c r="H7" s="56">
        <f>F7*G7</f>
        <v>0</v>
      </c>
      <c r="I7" s="56">
        <v>0</v>
      </c>
      <c r="J7" s="57">
        <f t="shared" si="0"/>
        <v>0</v>
      </c>
      <c r="AE7" s="58">
        <f t="shared" si="1"/>
        <v>0</v>
      </c>
      <c r="AF7" s="58">
        <f t="shared" si="2"/>
        <v>0</v>
      </c>
    </row>
    <row r="8" spans="1:32" ht="15" customHeight="1" x14ac:dyDescent="0.2">
      <c r="A8" s="96" t="s">
        <v>5</v>
      </c>
      <c r="B8" s="51"/>
      <c r="C8" s="53" t="s">
        <v>343</v>
      </c>
      <c r="D8" s="52" t="s">
        <v>383</v>
      </c>
      <c r="E8" s="53" t="s">
        <v>335</v>
      </c>
      <c r="F8" s="54">
        <v>1</v>
      </c>
      <c r="G8" s="55">
        <v>0</v>
      </c>
      <c r="H8" s="56">
        <f t="shared" ref="H8:H16" si="4">F8*G8</f>
        <v>0</v>
      </c>
      <c r="I8" s="56">
        <v>0</v>
      </c>
      <c r="J8" s="57">
        <f t="shared" si="0"/>
        <v>0</v>
      </c>
      <c r="AE8" s="58">
        <f t="shared" si="1"/>
        <v>0</v>
      </c>
      <c r="AF8" s="58">
        <f t="shared" si="2"/>
        <v>0</v>
      </c>
    </row>
    <row r="9" spans="1:32" ht="15" customHeight="1" x14ac:dyDescent="0.2">
      <c r="A9" s="96" t="s">
        <v>6</v>
      </c>
      <c r="B9" s="51"/>
      <c r="C9" s="101" t="s">
        <v>344</v>
      </c>
      <c r="D9" s="73" t="s">
        <v>345</v>
      </c>
      <c r="E9" s="53" t="s">
        <v>335</v>
      </c>
      <c r="F9" s="54">
        <v>1</v>
      </c>
      <c r="G9" s="55">
        <v>0</v>
      </c>
      <c r="H9" s="56">
        <f t="shared" si="4"/>
        <v>0</v>
      </c>
      <c r="I9" s="56">
        <v>0</v>
      </c>
      <c r="J9" s="57">
        <f t="shared" si="0"/>
        <v>0</v>
      </c>
      <c r="AE9" s="58">
        <f t="shared" si="1"/>
        <v>0</v>
      </c>
      <c r="AF9" s="58">
        <f t="shared" si="2"/>
        <v>0</v>
      </c>
    </row>
    <row r="10" spans="1:32" ht="15" customHeight="1" x14ac:dyDescent="0.2">
      <c r="A10" s="96" t="s">
        <v>7</v>
      </c>
      <c r="B10" s="51"/>
      <c r="C10" s="101" t="s">
        <v>346</v>
      </c>
      <c r="D10" s="41" t="s">
        <v>347</v>
      </c>
      <c r="E10" s="53" t="s">
        <v>335</v>
      </c>
      <c r="F10" s="54">
        <v>1</v>
      </c>
      <c r="G10" s="55">
        <v>0</v>
      </c>
      <c r="H10" s="56">
        <f t="shared" si="4"/>
        <v>0</v>
      </c>
      <c r="I10" s="56">
        <v>0</v>
      </c>
      <c r="J10" s="57">
        <f t="shared" si="0"/>
        <v>0</v>
      </c>
      <c r="AE10" s="58">
        <f t="shared" si="1"/>
        <v>0</v>
      </c>
      <c r="AF10" s="58">
        <f t="shared" si="2"/>
        <v>0</v>
      </c>
    </row>
    <row r="11" spans="1:32" ht="15" customHeight="1" x14ac:dyDescent="0.2">
      <c r="A11" s="96" t="s">
        <v>8</v>
      </c>
      <c r="B11" s="51"/>
      <c r="C11" s="101" t="s">
        <v>348</v>
      </c>
      <c r="D11" s="41" t="s">
        <v>349</v>
      </c>
      <c r="E11" s="53" t="s">
        <v>335</v>
      </c>
      <c r="F11" s="54">
        <v>1</v>
      </c>
      <c r="G11" s="55">
        <v>0</v>
      </c>
      <c r="H11" s="56">
        <f t="shared" si="4"/>
        <v>0</v>
      </c>
      <c r="I11" s="56">
        <v>0</v>
      </c>
      <c r="J11" s="57">
        <f t="shared" si="0"/>
        <v>0</v>
      </c>
      <c r="AE11" s="58">
        <f t="shared" si="1"/>
        <v>0</v>
      </c>
      <c r="AF11" s="58">
        <f t="shared" si="2"/>
        <v>0</v>
      </c>
    </row>
    <row r="12" spans="1:32" ht="15" customHeight="1" x14ac:dyDescent="0.2">
      <c r="A12" s="96" t="s">
        <v>9</v>
      </c>
      <c r="B12" s="51"/>
      <c r="C12" s="101" t="s">
        <v>350</v>
      </c>
      <c r="D12" s="41" t="s">
        <v>351</v>
      </c>
      <c r="E12" s="53" t="s">
        <v>335</v>
      </c>
      <c r="F12" s="54">
        <v>1</v>
      </c>
      <c r="G12" s="55">
        <v>0</v>
      </c>
      <c r="H12" s="56">
        <f t="shared" si="4"/>
        <v>0</v>
      </c>
      <c r="I12" s="56">
        <v>0</v>
      </c>
      <c r="J12" s="57">
        <f t="shared" si="0"/>
        <v>0</v>
      </c>
      <c r="AE12" s="58">
        <f t="shared" si="1"/>
        <v>0</v>
      </c>
      <c r="AF12" s="58">
        <f t="shared" si="2"/>
        <v>0</v>
      </c>
    </row>
    <row r="13" spans="1:32" ht="15" customHeight="1" x14ac:dyDescent="0.2">
      <c r="A13" s="96" t="s">
        <v>10</v>
      </c>
      <c r="B13" s="51"/>
      <c r="C13" s="101" t="s">
        <v>352</v>
      </c>
      <c r="D13" s="41" t="s">
        <v>353</v>
      </c>
      <c r="E13" s="53" t="s">
        <v>335</v>
      </c>
      <c r="F13" s="54">
        <v>1</v>
      </c>
      <c r="G13" s="55">
        <v>0</v>
      </c>
      <c r="H13" s="56">
        <f t="shared" si="4"/>
        <v>0</v>
      </c>
      <c r="I13" s="56">
        <v>0</v>
      </c>
      <c r="J13" s="57">
        <f t="shared" si="0"/>
        <v>0</v>
      </c>
      <c r="AE13" s="58">
        <f t="shared" si="1"/>
        <v>0</v>
      </c>
      <c r="AF13" s="58">
        <f t="shared" si="2"/>
        <v>0</v>
      </c>
    </row>
    <row r="14" spans="1:32" ht="15" customHeight="1" x14ac:dyDescent="0.2">
      <c r="A14" s="96" t="s">
        <v>11</v>
      </c>
      <c r="B14" s="51"/>
      <c r="C14" s="101" t="s">
        <v>354</v>
      </c>
      <c r="D14" s="41" t="s">
        <v>355</v>
      </c>
      <c r="E14" s="53" t="s">
        <v>335</v>
      </c>
      <c r="F14" s="54">
        <v>1</v>
      </c>
      <c r="G14" s="55">
        <v>0</v>
      </c>
      <c r="H14" s="56">
        <f t="shared" si="4"/>
        <v>0</v>
      </c>
      <c r="I14" s="56">
        <v>0</v>
      </c>
      <c r="J14" s="57">
        <f>I12*F12</f>
        <v>0</v>
      </c>
      <c r="AE14" s="58">
        <f t="shared" si="1"/>
        <v>0</v>
      </c>
      <c r="AF14" s="58">
        <f t="shared" si="2"/>
        <v>0</v>
      </c>
    </row>
    <row r="15" spans="1:32" ht="15" customHeight="1" x14ac:dyDescent="0.2">
      <c r="A15" s="96" t="s">
        <v>12</v>
      </c>
      <c r="B15" s="51"/>
      <c r="C15" s="101" t="s">
        <v>356</v>
      </c>
      <c r="D15" s="41" t="s">
        <v>357</v>
      </c>
      <c r="E15" s="53" t="s">
        <v>335</v>
      </c>
      <c r="F15" s="54">
        <v>1</v>
      </c>
      <c r="G15" s="55">
        <v>0</v>
      </c>
      <c r="H15" s="56">
        <f t="shared" si="4"/>
        <v>0</v>
      </c>
      <c r="I15" s="56">
        <v>0</v>
      </c>
      <c r="J15" s="57">
        <f>I15*F15</f>
        <v>0</v>
      </c>
      <c r="AE15" s="58">
        <f t="shared" si="1"/>
        <v>0</v>
      </c>
      <c r="AF15" s="58">
        <f t="shared" si="2"/>
        <v>0</v>
      </c>
    </row>
    <row r="16" spans="1:32" ht="15" customHeight="1" thickBot="1" x14ac:dyDescent="0.25">
      <c r="A16" s="96" t="s">
        <v>13</v>
      </c>
      <c r="B16" s="51"/>
      <c r="C16" s="101" t="s">
        <v>359</v>
      </c>
      <c r="D16" s="41" t="s">
        <v>221</v>
      </c>
      <c r="E16" s="53" t="s">
        <v>335</v>
      </c>
      <c r="F16" s="54">
        <v>1</v>
      </c>
      <c r="G16" s="55">
        <v>0</v>
      </c>
      <c r="H16" s="56">
        <f t="shared" si="4"/>
        <v>0</v>
      </c>
      <c r="I16" s="56">
        <v>0</v>
      </c>
      <c r="J16" s="57">
        <f t="shared" si="0"/>
        <v>0</v>
      </c>
      <c r="AE16" s="58">
        <f t="shared" si="1"/>
        <v>0</v>
      </c>
      <c r="AF16" s="58">
        <f t="shared" si="2"/>
        <v>0</v>
      </c>
    </row>
    <row r="17" spans="1:32" ht="15" customHeight="1" x14ac:dyDescent="0.2">
      <c r="A17" s="95" t="s">
        <v>1</v>
      </c>
      <c r="B17" s="45" t="s">
        <v>1</v>
      </c>
      <c r="C17" s="46"/>
      <c r="D17" s="45" t="s">
        <v>214</v>
      </c>
      <c r="E17" s="46" t="s">
        <v>1</v>
      </c>
      <c r="F17" s="47" t="s">
        <v>1</v>
      </c>
      <c r="G17" s="47" t="s">
        <v>1</v>
      </c>
      <c r="H17" s="48">
        <f>SUM(H18:H22)</f>
        <v>0</v>
      </c>
      <c r="I17" s="47" t="s">
        <v>1</v>
      </c>
      <c r="J17" s="49">
        <f>SUM(J18:J22)</f>
        <v>0</v>
      </c>
      <c r="L17" s="50"/>
    </row>
    <row r="18" spans="1:32" ht="15" customHeight="1" x14ac:dyDescent="0.2">
      <c r="A18" s="96" t="s">
        <v>14</v>
      </c>
      <c r="B18" s="51"/>
      <c r="C18" s="53" t="s">
        <v>118</v>
      </c>
      <c r="D18" s="52" t="s">
        <v>215</v>
      </c>
      <c r="E18" s="53" t="s">
        <v>321</v>
      </c>
      <c r="F18" s="54">
        <v>503.33</v>
      </c>
      <c r="G18" s="55">
        <v>0</v>
      </c>
      <c r="H18" s="56">
        <f>F18*G18</f>
        <v>0</v>
      </c>
      <c r="I18" s="56">
        <v>0</v>
      </c>
      <c r="J18" s="57">
        <f>I18*F18</f>
        <v>0</v>
      </c>
      <c r="AE18" s="58">
        <f>G18*0</f>
        <v>0</v>
      </c>
      <c r="AF18" s="58">
        <f>G18*(1-0)</f>
        <v>0</v>
      </c>
    </row>
    <row r="19" spans="1:32" ht="15" customHeight="1" x14ac:dyDescent="0.2">
      <c r="A19" s="96" t="s">
        <v>15</v>
      </c>
      <c r="B19" s="51"/>
      <c r="C19" s="53" t="s">
        <v>119</v>
      </c>
      <c r="D19" s="52" t="s">
        <v>216</v>
      </c>
      <c r="E19" s="53" t="s">
        <v>321</v>
      </c>
      <c r="F19" s="54">
        <v>1006.65</v>
      </c>
      <c r="G19" s="55">
        <v>0</v>
      </c>
      <c r="H19" s="56">
        <f t="shared" ref="H19:H22" si="5">F19*G19</f>
        <v>0</v>
      </c>
      <c r="I19" s="56">
        <v>0</v>
      </c>
      <c r="J19" s="57">
        <f>I19*F19</f>
        <v>0</v>
      </c>
      <c r="AE19" s="58">
        <f>G19*0</f>
        <v>0</v>
      </c>
      <c r="AF19" s="58">
        <f>G19*(1-0)</f>
        <v>0</v>
      </c>
    </row>
    <row r="20" spans="1:32" ht="15" customHeight="1" x14ac:dyDescent="0.2">
      <c r="A20" s="96" t="s">
        <v>16</v>
      </c>
      <c r="B20" s="51"/>
      <c r="C20" s="53" t="s">
        <v>120</v>
      </c>
      <c r="D20" s="52" t="s">
        <v>217</v>
      </c>
      <c r="E20" s="53" t="s">
        <v>321</v>
      </c>
      <c r="F20" s="54">
        <v>503.33</v>
      </c>
      <c r="G20" s="55">
        <v>0</v>
      </c>
      <c r="H20" s="56">
        <f t="shared" si="5"/>
        <v>0</v>
      </c>
      <c r="I20" s="56">
        <v>0</v>
      </c>
      <c r="J20" s="57">
        <f>I20*F20</f>
        <v>0</v>
      </c>
      <c r="AE20" s="58">
        <f>G20*0</f>
        <v>0</v>
      </c>
      <c r="AF20" s="58">
        <f>G20*(1-0)</f>
        <v>0</v>
      </c>
    </row>
    <row r="21" spans="1:32" ht="15" customHeight="1" x14ac:dyDescent="0.2">
      <c r="A21" s="96" t="s">
        <v>17</v>
      </c>
      <c r="B21" s="51"/>
      <c r="C21" s="53" t="s">
        <v>121</v>
      </c>
      <c r="D21" s="52" t="s">
        <v>218</v>
      </c>
      <c r="E21" s="53" t="s">
        <v>321</v>
      </c>
      <c r="F21" s="54">
        <v>344.7</v>
      </c>
      <c r="G21" s="55">
        <v>0</v>
      </c>
      <c r="H21" s="56">
        <f>F21*G21</f>
        <v>0</v>
      </c>
      <c r="I21" s="56">
        <v>0</v>
      </c>
      <c r="J21" s="57">
        <f>I21*F21</f>
        <v>0</v>
      </c>
      <c r="AE21" s="58">
        <f>G21*0</f>
        <v>0</v>
      </c>
      <c r="AF21" s="58">
        <f>G21*(1-0)</f>
        <v>0</v>
      </c>
    </row>
    <row r="22" spans="1:32" ht="15" customHeight="1" x14ac:dyDescent="0.2">
      <c r="A22" s="96" t="s">
        <v>18</v>
      </c>
      <c r="B22" s="51"/>
      <c r="C22" s="53" t="s">
        <v>122</v>
      </c>
      <c r="D22" s="52" t="s">
        <v>219</v>
      </c>
      <c r="E22" s="53" t="s">
        <v>321</v>
      </c>
      <c r="F22" s="54">
        <v>132.5</v>
      </c>
      <c r="G22" s="55">
        <v>0</v>
      </c>
      <c r="H22" s="56">
        <f t="shared" si="5"/>
        <v>0</v>
      </c>
      <c r="I22" s="56">
        <v>0</v>
      </c>
      <c r="J22" s="57">
        <f>I22*F22</f>
        <v>0</v>
      </c>
      <c r="AE22" s="58">
        <f>G22*0</f>
        <v>0</v>
      </c>
      <c r="AF22" s="58">
        <f>G22*(1-0)</f>
        <v>0</v>
      </c>
    </row>
    <row r="23" spans="1:32" ht="15" customHeight="1" x14ac:dyDescent="0.2">
      <c r="A23" s="97" t="s">
        <v>1</v>
      </c>
      <c r="B23" s="59" t="s">
        <v>1</v>
      </c>
      <c r="C23" s="61" t="s">
        <v>11</v>
      </c>
      <c r="D23" s="60" t="s">
        <v>222</v>
      </c>
      <c r="E23" s="61" t="s">
        <v>1</v>
      </c>
      <c r="F23" s="62" t="s">
        <v>1</v>
      </c>
      <c r="G23" s="63" t="s">
        <v>1</v>
      </c>
      <c r="H23" s="64">
        <f>SUM(H24:H33)</f>
        <v>0</v>
      </c>
      <c r="I23" s="63" t="s">
        <v>1</v>
      </c>
      <c r="J23" s="65">
        <f>SUM(J24:J33)</f>
        <v>682.91502000000003</v>
      </c>
    </row>
    <row r="24" spans="1:32" ht="15" customHeight="1" x14ac:dyDescent="0.2">
      <c r="A24" s="96" t="s">
        <v>19</v>
      </c>
      <c r="B24" s="51"/>
      <c r="C24" s="53" t="s">
        <v>123</v>
      </c>
      <c r="D24" s="52" t="s">
        <v>223</v>
      </c>
      <c r="E24" s="53" t="s">
        <v>323</v>
      </c>
      <c r="F24" s="54">
        <v>40</v>
      </c>
      <c r="G24" s="55">
        <v>0</v>
      </c>
      <c r="H24" s="56">
        <f>F24*G24</f>
        <v>0</v>
      </c>
      <c r="I24" s="56">
        <v>0</v>
      </c>
      <c r="J24" s="57">
        <f t="shared" ref="J24:J33" si="6">I24*F24</f>
        <v>0</v>
      </c>
      <c r="AE24" s="58">
        <f t="shared" ref="AE24:AE32" si="7">G24*0</f>
        <v>0</v>
      </c>
      <c r="AF24" s="58">
        <f t="shared" ref="AF24:AF32" si="8">G24*(1-0)</f>
        <v>0</v>
      </c>
    </row>
    <row r="25" spans="1:32" ht="15" customHeight="1" x14ac:dyDescent="0.2">
      <c r="A25" s="96" t="s">
        <v>20</v>
      </c>
      <c r="B25" s="51"/>
      <c r="C25" s="53" t="s">
        <v>124</v>
      </c>
      <c r="D25" s="52" t="s">
        <v>224</v>
      </c>
      <c r="E25" s="53" t="s">
        <v>324</v>
      </c>
      <c r="F25" s="54">
        <v>4</v>
      </c>
      <c r="G25" s="55">
        <v>0</v>
      </c>
      <c r="H25" s="56">
        <f t="shared" ref="H25:H33" si="9">F25*G25</f>
        <v>0</v>
      </c>
      <c r="I25" s="56">
        <v>0</v>
      </c>
      <c r="J25" s="57">
        <f t="shared" si="6"/>
        <v>0</v>
      </c>
      <c r="AE25" s="58">
        <f t="shared" si="7"/>
        <v>0</v>
      </c>
      <c r="AF25" s="58">
        <f t="shared" si="8"/>
        <v>0</v>
      </c>
    </row>
    <row r="26" spans="1:32" ht="15" customHeight="1" x14ac:dyDescent="0.2">
      <c r="A26" s="96" t="s">
        <v>21</v>
      </c>
      <c r="B26" s="51"/>
      <c r="C26" s="53" t="s">
        <v>125</v>
      </c>
      <c r="D26" s="52" t="s">
        <v>225</v>
      </c>
      <c r="E26" s="53" t="s">
        <v>324</v>
      </c>
      <c r="F26" s="54">
        <v>4</v>
      </c>
      <c r="G26" s="55">
        <v>0</v>
      </c>
      <c r="H26" s="56">
        <f t="shared" si="9"/>
        <v>0</v>
      </c>
      <c r="I26" s="56">
        <v>0</v>
      </c>
      <c r="J26" s="57">
        <f t="shared" si="6"/>
        <v>0</v>
      </c>
      <c r="AE26" s="58">
        <f t="shared" si="7"/>
        <v>0</v>
      </c>
      <c r="AF26" s="58">
        <f t="shared" si="8"/>
        <v>0</v>
      </c>
    </row>
    <row r="27" spans="1:32" ht="24.95" customHeight="1" x14ac:dyDescent="0.2">
      <c r="A27" s="96" t="s">
        <v>22</v>
      </c>
      <c r="B27" s="51"/>
      <c r="C27" s="53" t="s">
        <v>126</v>
      </c>
      <c r="D27" s="52" t="s">
        <v>424</v>
      </c>
      <c r="E27" s="53" t="s">
        <v>323</v>
      </c>
      <c r="F27" s="54">
        <v>720</v>
      </c>
      <c r="G27" s="55">
        <v>0</v>
      </c>
      <c r="H27" s="56">
        <f t="shared" si="9"/>
        <v>0</v>
      </c>
      <c r="I27" s="56">
        <v>0.4</v>
      </c>
      <c r="J27" s="57">
        <f t="shared" si="6"/>
        <v>288</v>
      </c>
      <c r="AE27" s="58">
        <f t="shared" si="7"/>
        <v>0</v>
      </c>
      <c r="AF27" s="58">
        <f t="shared" si="8"/>
        <v>0</v>
      </c>
    </row>
    <row r="28" spans="1:32" ht="24.95" customHeight="1" x14ac:dyDescent="0.2">
      <c r="A28" s="96" t="s">
        <v>23</v>
      </c>
      <c r="B28" s="51"/>
      <c r="C28" s="53" t="s">
        <v>386</v>
      </c>
      <c r="D28" s="52" t="s">
        <v>387</v>
      </c>
      <c r="E28" s="53" t="s">
        <v>323</v>
      </c>
      <c r="F28" s="54">
        <v>102</v>
      </c>
      <c r="G28" s="55">
        <v>0</v>
      </c>
      <c r="H28" s="56">
        <f t="shared" si="9"/>
        <v>0</v>
      </c>
      <c r="I28" s="56">
        <v>0.23</v>
      </c>
      <c r="J28" s="57">
        <f t="shared" si="6"/>
        <v>23.46</v>
      </c>
      <c r="AE28" s="58">
        <f t="shared" si="7"/>
        <v>0</v>
      </c>
      <c r="AF28" s="58">
        <f t="shared" si="8"/>
        <v>0</v>
      </c>
    </row>
    <row r="29" spans="1:32" ht="15" customHeight="1" x14ac:dyDescent="0.2">
      <c r="A29" s="96" t="s">
        <v>24</v>
      </c>
      <c r="B29" s="51"/>
      <c r="C29" s="53" t="s">
        <v>127</v>
      </c>
      <c r="D29" s="52" t="s">
        <v>226</v>
      </c>
      <c r="E29" s="53" t="s">
        <v>323</v>
      </c>
      <c r="F29" s="54">
        <v>510</v>
      </c>
      <c r="G29" s="55">
        <v>0</v>
      </c>
      <c r="H29" s="56">
        <f t="shared" si="9"/>
        <v>0</v>
      </c>
      <c r="I29" s="56">
        <v>0.41699999999999998</v>
      </c>
      <c r="J29" s="57">
        <f t="shared" si="6"/>
        <v>212.67</v>
      </c>
      <c r="AE29" s="58">
        <f t="shared" si="7"/>
        <v>0</v>
      </c>
      <c r="AF29" s="58">
        <f t="shared" si="8"/>
        <v>0</v>
      </c>
    </row>
    <row r="30" spans="1:32" ht="15" customHeight="1" x14ac:dyDescent="0.2">
      <c r="A30" s="96" t="s">
        <v>25</v>
      </c>
      <c r="B30" s="51"/>
      <c r="C30" s="53" t="s">
        <v>128</v>
      </c>
      <c r="D30" s="52" t="s">
        <v>227</v>
      </c>
      <c r="E30" s="53" t="s">
        <v>323</v>
      </c>
      <c r="F30" s="54">
        <v>500</v>
      </c>
      <c r="G30" s="55">
        <v>0</v>
      </c>
      <c r="H30" s="56">
        <f t="shared" si="9"/>
        <v>0</v>
      </c>
      <c r="I30" s="56">
        <v>0.18099999999999999</v>
      </c>
      <c r="J30" s="57">
        <f t="shared" si="6"/>
        <v>90.5</v>
      </c>
      <c r="AE30" s="58">
        <f t="shared" si="7"/>
        <v>0</v>
      </c>
      <c r="AF30" s="58">
        <f t="shared" si="8"/>
        <v>0</v>
      </c>
    </row>
    <row r="31" spans="1:32" x14ac:dyDescent="0.2">
      <c r="A31" s="96" t="s">
        <v>26</v>
      </c>
      <c r="B31" s="51"/>
      <c r="C31" s="53" t="s">
        <v>128</v>
      </c>
      <c r="D31" s="52" t="s">
        <v>227</v>
      </c>
      <c r="E31" s="53" t="s">
        <v>323</v>
      </c>
      <c r="F31" s="54">
        <v>352</v>
      </c>
      <c r="G31" s="55">
        <v>0</v>
      </c>
      <c r="H31" s="56">
        <f t="shared" si="9"/>
        <v>0</v>
      </c>
      <c r="I31" s="56">
        <v>0.18099999999999999</v>
      </c>
      <c r="J31" s="57">
        <f t="shared" si="6"/>
        <v>63.711999999999996</v>
      </c>
      <c r="AE31" s="58">
        <f t="shared" si="7"/>
        <v>0</v>
      </c>
      <c r="AF31" s="58">
        <f t="shared" si="8"/>
        <v>0</v>
      </c>
    </row>
    <row r="32" spans="1:32" x14ac:dyDescent="0.2">
      <c r="A32" s="96" t="s">
        <v>27</v>
      </c>
      <c r="B32" s="51"/>
      <c r="C32" s="53" t="s">
        <v>388</v>
      </c>
      <c r="D32" s="52" t="s">
        <v>389</v>
      </c>
      <c r="E32" s="53" t="s">
        <v>325</v>
      </c>
      <c r="F32" s="54">
        <v>29</v>
      </c>
      <c r="G32" s="55">
        <v>0</v>
      </c>
      <c r="H32" s="56">
        <f t="shared" si="9"/>
        <v>0</v>
      </c>
      <c r="I32" s="56">
        <v>0.15</v>
      </c>
      <c r="J32" s="57">
        <f t="shared" si="6"/>
        <v>4.3499999999999996</v>
      </c>
      <c r="AE32" s="58">
        <f t="shared" si="7"/>
        <v>0</v>
      </c>
      <c r="AF32" s="58">
        <f t="shared" si="8"/>
        <v>0</v>
      </c>
    </row>
    <row r="33" spans="1:32" ht="15" customHeight="1" x14ac:dyDescent="0.2">
      <c r="A33" s="96" t="s">
        <v>28</v>
      </c>
      <c r="B33" s="51"/>
      <c r="C33" s="53" t="s">
        <v>129</v>
      </c>
      <c r="D33" s="52" t="s">
        <v>228</v>
      </c>
      <c r="E33" s="53" t="s">
        <v>325</v>
      </c>
      <c r="F33" s="54">
        <v>9</v>
      </c>
      <c r="G33" s="55">
        <v>0</v>
      </c>
      <c r="H33" s="56">
        <f t="shared" si="9"/>
        <v>0</v>
      </c>
      <c r="I33" s="56">
        <v>2.478E-2</v>
      </c>
      <c r="J33" s="57">
        <f t="shared" si="6"/>
        <v>0.22302</v>
      </c>
      <c r="AE33" s="58">
        <f>G33*0.386619301361752</f>
        <v>0</v>
      </c>
      <c r="AF33" s="58">
        <f>G33*(1-0.386619301361752)</f>
        <v>0</v>
      </c>
    </row>
    <row r="34" spans="1:32" ht="15" customHeight="1" x14ac:dyDescent="0.2">
      <c r="A34" s="97" t="s">
        <v>1</v>
      </c>
      <c r="B34" s="59" t="s">
        <v>1</v>
      </c>
      <c r="C34" s="61" t="s">
        <v>12</v>
      </c>
      <c r="D34" s="60" t="s">
        <v>229</v>
      </c>
      <c r="E34" s="61" t="s">
        <v>1</v>
      </c>
      <c r="F34" s="62" t="s">
        <v>1</v>
      </c>
      <c r="G34" s="63" t="s">
        <v>1</v>
      </c>
      <c r="H34" s="64">
        <f>SUM(H35:H37)</f>
        <v>0</v>
      </c>
      <c r="I34" s="63" t="s">
        <v>1</v>
      </c>
      <c r="J34" s="65">
        <f>SUM(J35:J37)</f>
        <v>109.08</v>
      </c>
    </row>
    <row r="35" spans="1:32" ht="25.5" x14ac:dyDescent="0.2">
      <c r="A35" s="96" t="s">
        <v>27</v>
      </c>
      <c r="B35" s="51"/>
      <c r="C35" s="53" t="s">
        <v>130</v>
      </c>
      <c r="D35" s="52" t="s">
        <v>230</v>
      </c>
      <c r="E35" s="53" t="s">
        <v>322</v>
      </c>
      <c r="F35" s="54">
        <v>45.45</v>
      </c>
      <c r="G35" s="55">
        <v>0</v>
      </c>
      <c r="H35" s="56">
        <f>AE35*F35+AF35*F35</f>
        <v>0</v>
      </c>
      <c r="I35" s="56">
        <v>2.4</v>
      </c>
      <c r="J35" s="57">
        <f>I35*F35</f>
        <v>109.08</v>
      </c>
      <c r="AE35" s="58">
        <f>G35*0</f>
        <v>0</v>
      </c>
      <c r="AF35" s="58">
        <f>G35*(1-0)</f>
        <v>0</v>
      </c>
    </row>
    <row r="36" spans="1:32" ht="15" customHeight="1" x14ac:dyDescent="0.2">
      <c r="A36" s="96" t="s">
        <v>28</v>
      </c>
      <c r="B36" s="51"/>
      <c r="C36" s="53" t="s">
        <v>131</v>
      </c>
      <c r="D36" s="52" t="s">
        <v>231</v>
      </c>
      <c r="E36" s="53" t="s">
        <v>322</v>
      </c>
      <c r="F36" s="54">
        <v>48</v>
      </c>
      <c r="G36" s="55">
        <v>0</v>
      </c>
      <c r="H36" s="56">
        <f>AE36*F36+AF36*F36</f>
        <v>0</v>
      </c>
      <c r="I36" s="56">
        <v>0</v>
      </c>
      <c r="J36" s="57">
        <f>I36*F36</f>
        <v>0</v>
      </c>
      <c r="AE36" s="58">
        <f>G36*0</f>
        <v>0</v>
      </c>
      <c r="AF36" s="58">
        <f>G36*(1-0)</f>
        <v>0</v>
      </c>
    </row>
    <row r="37" spans="1:32" ht="15" customHeight="1" x14ac:dyDescent="0.2">
      <c r="A37" s="96" t="s">
        <v>29</v>
      </c>
      <c r="B37" s="51"/>
      <c r="C37" s="53" t="s">
        <v>132</v>
      </c>
      <c r="D37" s="52" t="s">
        <v>232</v>
      </c>
      <c r="E37" s="53" t="s">
        <v>322</v>
      </c>
      <c r="F37" s="54">
        <v>196</v>
      </c>
      <c r="G37" s="55">
        <v>0</v>
      </c>
      <c r="H37" s="56">
        <f>AE37*F37+AF37*F37</f>
        <v>0</v>
      </c>
      <c r="I37" s="56">
        <v>0</v>
      </c>
      <c r="J37" s="57">
        <f>I37*F37</f>
        <v>0</v>
      </c>
      <c r="AE37" s="58">
        <f>G37*0</f>
        <v>0</v>
      </c>
      <c r="AF37" s="58">
        <f>G37*(1-0)</f>
        <v>0</v>
      </c>
    </row>
    <row r="38" spans="1:32" ht="15" customHeight="1" x14ac:dyDescent="0.2">
      <c r="A38" s="97" t="s">
        <v>1</v>
      </c>
      <c r="B38" s="59" t="s">
        <v>1</v>
      </c>
      <c r="C38" s="61" t="s">
        <v>13</v>
      </c>
      <c r="D38" s="60" t="s">
        <v>233</v>
      </c>
      <c r="E38" s="61" t="s">
        <v>1</v>
      </c>
      <c r="F38" s="62" t="s">
        <v>1</v>
      </c>
      <c r="G38" s="63" t="s">
        <v>1</v>
      </c>
      <c r="H38" s="64">
        <f>SUM(H39:H44)</f>
        <v>0</v>
      </c>
      <c r="I38" s="63" t="s">
        <v>1</v>
      </c>
      <c r="J38" s="65">
        <f>SUM(J39:J44)</f>
        <v>0</v>
      </c>
    </row>
    <row r="39" spans="1:32" ht="15" customHeight="1" x14ac:dyDescent="0.2">
      <c r="A39" s="96" t="s">
        <v>30</v>
      </c>
      <c r="B39" s="51"/>
      <c r="C39" s="53" t="s">
        <v>133</v>
      </c>
      <c r="D39" s="52" t="s">
        <v>234</v>
      </c>
      <c r="E39" s="53" t="s">
        <v>322</v>
      </c>
      <c r="F39" s="54">
        <v>0.28799999999999998</v>
      </c>
      <c r="G39" s="55">
        <v>0</v>
      </c>
      <c r="H39" s="56">
        <f t="shared" ref="H39:H44" si="10">AE39*F39+AF39*F39</f>
        <v>0</v>
      </c>
      <c r="I39" s="56">
        <v>0</v>
      </c>
      <c r="J39" s="57">
        <f t="shared" ref="J39:J44" si="11">I39*F39</f>
        <v>0</v>
      </c>
      <c r="AE39" s="58">
        <f t="shared" ref="AE39:AE44" si="12">G39*0</f>
        <v>0</v>
      </c>
      <c r="AF39" s="58">
        <f t="shared" ref="AF39:AF44" si="13">G39*(1-0)</f>
        <v>0</v>
      </c>
    </row>
    <row r="40" spans="1:32" ht="15" customHeight="1" x14ac:dyDescent="0.2">
      <c r="A40" s="96" t="s">
        <v>31</v>
      </c>
      <c r="B40" s="51"/>
      <c r="C40" s="53" t="s">
        <v>134</v>
      </c>
      <c r="D40" s="52" t="s">
        <v>235</v>
      </c>
      <c r="E40" s="53" t="s">
        <v>322</v>
      </c>
      <c r="F40" s="54">
        <v>13.74</v>
      </c>
      <c r="G40" s="55">
        <v>0</v>
      </c>
      <c r="H40" s="56">
        <f t="shared" si="10"/>
        <v>0</v>
      </c>
      <c r="I40" s="56">
        <v>0</v>
      </c>
      <c r="J40" s="57">
        <f t="shared" si="11"/>
        <v>0</v>
      </c>
      <c r="AE40" s="58">
        <f t="shared" si="12"/>
        <v>0</v>
      </c>
      <c r="AF40" s="58">
        <f t="shared" si="13"/>
        <v>0</v>
      </c>
    </row>
    <row r="41" spans="1:32" ht="25.5" x14ac:dyDescent="0.2">
      <c r="A41" s="96" t="s">
        <v>32</v>
      </c>
      <c r="B41" s="51"/>
      <c r="C41" s="53" t="s">
        <v>135</v>
      </c>
      <c r="D41" s="52" t="s">
        <v>236</v>
      </c>
      <c r="E41" s="53" t="s">
        <v>322</v>
      </c>
      <c r="F41" s="54">
        <v>14.88</v>
      </c>
      <c r="G41" s="55">
        <v>0</v>
      </c>
      <c r="H41" s="56">
        <f t="shared" si="10"/>
        <v>0</v>
      </c>
      <c r="I41" s="56">
        <v>0</v>
      </c>
      <c r="J41" s="57">
        <f t="shared" si="11"/>
        <v>0</v>
      </c>
      <c r="AE41" s="58">
        <f t="shared" si="12"/>
        <v>0</v>
      </c>
      <c r="AF41" s="58">
        <f t="shared" si="13"/>
        <v>0</v>
      </c>
    </row>
    <row r="42" spans="1:32" ht="25.5" x14ac:dyDescent="0.2">
      <c r="A42" s="96" t="s">
        <v>33</v>
      </c>
      <c r="B42" s="51"/>
      <c r="C42" s="53" t="s">
        <v>135</v>
      </c>
      <c r="D42" s="52" t="s">
        <v>237</v>
      </c>
      <c r="E42" s="53" t="s">
        <v>322</v>
      </c>
      <c r="F42" s="54">
        <v>12.6</v>
      </c>
      <c r="G42" s="55">
        <v>0</v>
      </c>
      <c r="H42" s="56">
        <f t="shared" si="10"/>
        <v>0</v>
      </c>
      <c r="I42" s="56">
        <v>0</v>
      </c>
      <c r="J42" s="57">
        <f t="shared" si="11"/>
        <v>0</v>
      </c>
      <c r="AE42" s="58">
        <f t="shared" si="12"/>
        <v>0</v>
      </c>
      <c r="AF42" s="58">
        <f t="shared" si="13"/>
        <v>0</v>
      </c>
    </row>
    <row r="43" spans="1:32" ht="15" customHeight="1" x14ac:dyDescent="0.2">
      <c r="A43" s="96" t="s">
        <v>34</v>
      </c>
      <c r="B43" s="51"/>
      <c r="C43" s="53" t="s">
        <v>136</v>
      </c>
      <c r="D43" s="52" t="s">
        <v>238</v>
      </c>
      <c r="E43" s="53" t="s">
        <v>322</v>
      </c>
      <c r="F43" s="54">
        <v>34.4</v>
      </c>
      <c r="G43" s="55">
        <v>0</v>
      </c>
      <c r="H43" s="56">
        <f t="shared" si="10"/>
        <v>0</v>
      </c>
      <c r="I43" s="56">
        <v>0</v>
      </c>
      <c r="J43" s="57">
        <f t="shared" si="11"/>
        <v>0</v>
      </c>
      <c r="AE43" s="58">
        <f t="shared" si="12"/>
        <v>0</v>
      </c>
      <c r="AF43" s="58">
        <f t="shared" si="13"/>
        <v>0</v>
      </c>
    </row>
    <row r="44" spans="1:32" ht="25.5" x14ac:dyDescent="0.2">
      <c r="A44" s="96" t="s">
        <v>35</v>
      </c>
      <c r="B44" s="51"/>
      <c r="C44" s="53" t="s">
        <v>137</v>
      </c>
      <c r="D44" s="52" t="s">
        <v>239</v>
      </c>
      <c r="E44" s="53" t="s">
        <v>322</v>
      </c>
      <c r="F44" s="54">
        <v>68.8</v>
      </c>
      <c r="G44" s="55">
        <v>0</v>
      </c>
      <c r="H44" s="56">
        <f t="shared" si="10"/>
        <v>0</v>
      </c>
      <c r="I44" s="56">
        <v>0</v>
      </c>
      <c r="J44" s="57">
        <f t="shared" si="11"/>
        <v>0</v>
      </c>
      <c r="AE44" s="58">
        <f t="shared" si="12"/>
        <v>0</v>
      </c>
      <c r="AF44" s="58">
        <f t="shared" si="13"/>
        <v>0</v>
      </c>
    </row>
    <row r="45" spans="1:32" ht="15" customHeight="1" x14ac:dyDescent="0.2">
      <c r="A45" s="97" t="s">
        <v>1</v>
      </c>
      <c r="B45" s="59" t="s">
        <v>1</v>
      </c>
      <c r="C45" s="61" t="s">
        <v>16</v>
      </c>
      <c r="D45" s="60" t="s">
        <v>240</v>
      </c>
      <c r="E45" s="61" t="s">
        <v>1</v>
      </c>
      <c r="F45" s="62" t="s">
        <v>1</v>
      </c>
      <c r="G45" s="63" t="s">
        <v>1</v>
      </c>
      <c r="H45" s="64">
        <f>SUM(H46:H56)</f>
        <v>0</v>
      </c>
      <c r="I45" s="63" t="s">
        <v>1</v>
      </c>
      <c r="J45" s="65">
        <f>SUM(J46:J56)</f>
        <v>0</v>
      </c>
    </row>
    <row r="46" spans="1:32" ht="15" customHeight="1" x14ac:dyDescent="0.2">
      <c r="A46" s="96" t="s">
        <v>36</v>
      </c>
      <c r="B46" s="51"/>
      <c r="C46" s="53" t="s">
        <v>138</v>
      </c>
      <c r="D46" s="52" t="s">
        <v>241</v>
      </c>
      <c r="E46" s="53" t="s">
        <v>322</v>
      </c>
      <c r="F46" s="54">
        <v>0.28999999999999998</v>
      </c>
      <c r="G46" s="55">
        <v>0</v>
      </c>
      <c r="H46" s="56">
        <f t="shared" ref="H46:H56" si="14">AE46*F46+AF46*F46</f>
        <v>0</v>
      </c>
      <c r="I46" s="56">
        <v>0</v>
      </c>
      <c r="J46" s="57">
        <f t="shared" ref="J46:J56" si="15">I46*F46</f>
        <v>0</v>
      </c>
      <c r="AE46" s="58">
        <f t="shared" ref="AE46:AE56" si="16">G46*0</f>
        <v>0</v>
      </c>
      <c r="AF46" s="58">
        <f t="shared" ref="AF46:AF56" si="17">G46*(1-0)</f>
        <v>0</v>
      </c>
    </row>
    <row r="47" spans="1:32" ht="15" customHeight="1" x14ac:dyDescent="0.2">
      <c r="A47" s="96" t="s">
        <v>37</v>
      </c>
      <c r="B47" s="51"/>
      <c r="C47" s="53" t="s">
        <v>139</v>
      </c>
      <c r="D47" s="52" t="s">
        <v>242</v>
      </c>
      <c r="E47" s="53" t="s">
        <v>323</v>
      </c>
      <c r="F47" s="54">
        <v>30</v>
      </c>
      <c r="G47" s="55">
        <v>0</v>
      </c>
      <c r="H47" s="56">
        <f t="shared" si="14"/>
        <v>0</v>
      </c>
      <c r="I47" s="56">
        <v>0</v>
      </c>
      <c r="J47" s="57">
        <f t="shared" si="15"/>
        <v>0</v>
      </c>
      <c r="AE47" s="58">
        <f t="shared" si="16"/>
        <v>0</v>
      </c>
      <c r="AF47" s="58">
        <f t="shared" si="17"/>
        <v>0</v>
      </c>
    </row>
    <row r="48" spans="1:32" ht="15" customHeight="1" x14ac:dyDescent="0.2">
      <c r="A48" s="96" t="s">
        <v>38</v>
      </c>
      <c r="B48" s="51"/>
      <c r="C48" s="53" t="s">
        <v>140</v>
      </c>
      <c r="D48" s="52" t="s">
        <v>243</v>
      </c>
      <c r="E48" s="53" t="s">
        <v>324</v>
      </c>
      <c r="F48" s="54">
        <v>4</v>
      </c>
      <c r="G48" s="55">
        <v>0</v>
      </c>
      <c r="H48" s="56">
        <f t="shared" si="14"/>
        <v>0</v>
      </c>
      <c r="I48" s="56">
        <v>0</v>
      </c>
      <c r="J48" s="57">
        <f t="shared" si="15"/>
        <v>0</v>
      </c>
      <c r="AE48" s="58">
        <f t="shared" si="16"/>
        <v>0</v>
      </c>
      <c r="AF48" s="58">
        <f t="shared" si="17"/>
        <v>0</v>
      </c>
    </row>
    <row r="49" spans="1:32" ht="15" customHeight="1" x14ac:dyDescent="0.2">
      <c r="A49" s="96" t="s">
        <v>39</v>
      </c>
      <c r="B49" s="51"/>
      <c r="C49" s="53" t="s">
        <v>141</v>
      </c>
      <c r="D49" s="52" t="s">
        <v>244</v>
      </c>
      <c r="E49" s="53" t="s">
        <v>324</v>
      </c>
      <c r="F49" s="54">
        <v>4</v>
      </c>
      <c r="G49" s="55">
        <v>0</v>
      </c>
      <c r="H49" s="56">
        <f t="shared" si="14"/>
        <v>0</v>
      </c>
      <c r="I49" s="56">
        <v>0</v>
      </c>
      <c r="J49" s="57">
        <f t="shared" si="15"/>
        <v>0</v>
      </c>
      <c r="AE49" s="58">
        <f t="shared" si="16"/>
        <v>0</v>
      </c>
      <c r="AF49" s="58">
        <f t="shared" si="17"/>
        <v>0</v>
      </c>
    </row>
    <row r="50" spans="1:32" ht="15" customHeight="1" x14ac:dyDescent="0.2">
      <c r="A50" s="96" t="s">
        <v>40</v>
      </c>
      <c r="B50" s="51"/>
      <c r="C50" s="53" t="s">
        <v>142</v>
      </c>
      <c r="D50" s="52" t="s">
        <v>245</v>
      </c>
      <c r="E50" s="53" t="s">
        <v>324</v>
      </c>
      <c r="F50" s="54">
        <v>4</v>
      </c>
      <c r="G50" s="55">
        <v>0</v>
      </c>
      <c r="H50" s="56">
        <f t="shared" si="14"/>
        <v>0</v>
      </c>
      <c r="I50" s="56">
        <v>0</v>
      </c>
      <c r="J50" s="57">
        <f t="shared" si="15"/>
        <v>0</v>
      </c>
      <c r="AE50" s="58">
        <f t="shared" si="16"/>
        <v>0</v>
      </c>
      <c r="AF50" s="58">
        <f t="shared" si="17"/>
        <v>0</v>
      </c>
    </row>
    <row r="51" spans="1:32" ht="15" customHeight="1" x14ac:dyDescent="0.2">
      <c r="A51" s="96" t="s">
        <v>41</v>
      </c>
      <c r="B51" s="51"/>
      <c r="C51" s="53" t="s">
        <v>143</v>
      </c>
      <c r="D51" s="52" t="s">
        <v>246</v>
      </c>
      <c r="E51" s="53" t="s">
        <v>323</v>
      </c>
      <c r="F51" s="54">
        <v>40</v>
      </c>
      <c r="G51" s="55">
        <v>0</v>
      </c>
      <c r="H51" s="56">
        <f t="shared" si="14"/>
        <v>0</v>
      </c>
      <c r="I51" s="56">
        <v>0</v>
      </c>
      <c r="J51" s="57">
        <f t="shared" si="15"/>
        <v>0</v>
      </c>
      <c r="AE51" s="58">
        <f t="shared" si="16"/>
        <v>0</v>
      </c>
      <c r="AF51" s="58">
        <f t="shared" si="17"/>
        <v>0</v>
      </c>
    </row>
    <row r="52" spans="1:32" ht="15" customHeight="1" x14ac:dyDescent="0.2">
      <c r="A52" s="96" t="s">
        <v>42</v>
      </c>
      <c r="B52" s="51"/>
      <c r="C52" s="53" t="s">
        <v>144</v>
      </c>
      <c r="D52" s="52" t="s">
        <v>247</v>
      </c>
      <c r="E52" s="53" t="s">
        <v>324</v>
      </c>
      <c r="F52" s="54">
        <v>4</v>
      </c>
      <c r="G52" s="55">
        <v>0</v>
      </c>
      <c r="H52" s="56">
        <f t="shared" si="14"/>
        <v>0</v>
      </c>
      <c r="I52" s="56">
        <v>0</v>
      </c>
      <c r="J52" s="57">
        <f t="shared" si="15"/>
        <v>0</v>
      </c>
      <c r="AE52" s="58">
        <f t="shared" si="16"/>
        <v>0</v>
      </c>
      <c r="AF52" s="58">
        <f t="shared" si="17"/>
        <v>0</v>
      </c>
    </row>
    <row r="53" spans="1:32" ht="15" customHeight="1" x14ac:dyDescent="0.2">
      <c r="A53" s="96" t="s">
        <v>43</v>
      </c>
      <c r="B53" s="51"/>
      <c r="C53" s="53" t="s">
        <v>145</v>
      </c>
      <c r="D53" s="52" t="s">
        <v>248</v>
      </c>
      <c r="E53" s="53" t="s">
        <v>324</v>
      </c>
      <c r="F53" s="54">
        <v>4</v>
      </c>
      <c r="G53" s="55">
        <v>0</v>
      </c>
      <c r="H53" s="56">
        <f t="shared" si="14"/>
        <v>0</v>
      </c>
      <c r="I53" s="56">
        <v>0</v>
      </c>
      <c r="J53" s="57">
        <f t="shared" si="15"/>
        <v>0</v>
      </c>
      <c r="AE53" s="58">
        <f t="shared" si="16"/>
        <v>0</v>
      </c>
      <c r="AF53" s="58">
        <f t="shared" si="17"/>
        <v>0</v>
      </c>
    </row>
    <row r="54" spans="1:32" ht="15" customHeight="1" x14ac:dyDescent="0.2">
      <c r="A54" s="96" t="s">
        <v>44</v>
      </c>
      <c r="B54" s="51"/>
      <c r="C54" s="53" t="s">
        <v>146</v>
      </c>
      <c r="D54" s="52" t="s">
        <v>249</v>
      </c>
      <c r="E54" s="53" t="s">
        <v>324</v>
      </c>
      <c r="F54" s="54">
        <v>4</v>
      </c>
      <c r="G54" s="55">
        <v>0</v>
      </c>
      <c r="H54" s="56">
        <f t="shared" si="14"/>
        <v>0</v>
      </c>
      <c r="I54" s="56">
        <v>0</v>
      </c>
      <c r="J54" s="57">
        <f t="shared" si="15"/>
        <v>0</v>
      </c>
      <c r="AE54" s="58">
        <f t="shared" si="16"/>
        <v>0</v>
      </c>
      <c r="AF54" s="58">
        <f t="shared" si="17"/>
        <v>0</v>
      </c>
    </row>
    <row r="55" spans="1:32" ht="25.5" x14ac:dyDescent="0.2">
      <c r="A55" s="96" t="s">
        <v>45</v>
      </c>
      <c r="B55" s="51"/>
      <c r="C55" s="53" t="s">
        <v>147</v>
      </c>
      <c r="D55" s="52" t="s">
        <v>250</v>
      </c>
      <c r="E55" s="53" t="s">
        <v>322</v>
      </c>
      <c r="F55" s="54">
        <v>310.57</v>
      </c>
      <c r="G55" s="55">
        <v>0</v>
      </c>
      <c r="H55" s="56">
        <f t="shared" si="14"/>
        <v>0</v>
      </c>
      <c r="I55" s="56">
        <v>0</v>
      </c>
      <c r="J55" s="57">
        <f t="shared" si="15"/>
        <v>0</v>
      </c>
      <c r="AE55" s="58">
        <f t="shared" si="16"/>
        <v>0</v>
      </c>
      <c r="AF55" s="58">
        <f t="shared" si="17"/>
        <v>0</v>
      </c>
    </row>
    <row r="56" spans="1:32" ht="15" customHeight="1" x14ac:dyDescent="0.2">
      <c r="A56" s="96" t="s">
        <v>46</v>
      </c>
      <c r="B56" s="51"/>
      <c r="C56" s="53" t="s">
        <v>148</v>
      </c>
      <c r="D56" s="52" t="s">
        <v>251</v>
      </c>
      <c r="E56" s="53" t="s">
        <v>322</v>
      </c>
      <c r="F56" s="54">
        <v>311.57</v>
      </c>
      <c r="G56" s="55">
        <v>0</v>
      </c>
      <c r="H56" s="56">
        <f t="shared" si="14"/>
        <v>0</v>
      </c>
      <c r="I56" s="56">
        <v>0</v>
      </c>
      <c r="J56" s="57">
        <f t="shared" si="15"/>
        <v>0</v>
      </c>
      <c r="AE56" s="58">
        <f t="shared" si="16"/>
        <v>0</v>
      </c>
      <c r="AF56" s="58">
        <f t="shared" si="17"/>
        <v>0</v>
      </c>
    </row>
    <row r="57" spans="1:32" ht="15" customHeight="1" x14ac:dyDescent="0.2">
      <c r="A57" s="97" t="s">
        <v>1</v>
      </c>
      <c r="B57" s="59" t="s">
        <v>1</v>
      </c>
      <c r="C57" s="61" t="s">
        <v>17</v>
      </c>
      <c r="D57" s="60" t="s">
        <v>252</v>
      </c>
      <c r="E57" s="61" t="s">
        <v>1</v>
      </c>
      <c r="F57" s="62" t="s">
        <v>1</v>
      </c>
      <c r="G57" s="63" t="s">
        <v>1</v>
      </c>
      <c r="H57" s="64">
        <f>SUM(H58:H63)</f>
        <v>0</v>
      </c>
      <c r="I57" s="63" t="s">
        <v>1</v>
      </c>
      <c r="J57" s="65">
        <f>SUM(J58:J63)</f>
        <v>61.656399999999998</v>
      </c>
    </row>
    <row r="58" spans="1:32" ht="15" customHeight="1" x14ac:dyDescent="0.2">
      <c r="A58" s="96" t="s">
        <v>47</v>
      </c>
      <c r="B58" s="51"/>
      <c r="C58" s="53" t="s">
        <v>149</v>
      </c>
      <c r="D58" s="52" t="s">
        <v>253</v>
      </c>
      <c r="E58" s="53" t="s">
        <v>322</v>
      </c>
      <c r="F58" s="54">
        <v>29</v>
      </c>
      <c r="G58" s="55">
        <v>0</v>
      </c>
      <c r="H58" s="56">
        <f t="shared" ref="H58:H63" si="18">AE58*F58+AF58*F58</f>
        <v>0</v>
      </c>
      <c r="I58" s="56">
        <v>0</v>
      </c>
      <c r="J58" s="57">
        <f t="shared" ref="J58:J63" si="19">I58*F58</f>
        <v>0</v>
      </c>
      <c r="AE58" s="58">
        <f>G58*0</f>
        <v>0</v>
      </c>
      <c r="AF58" s="58">
        <f>G58*(1-0)</f>
        <v>0</v>
      </c>
    </row>
    <row r="59" spans="1:32" ht="15" customHeight="1" x14ac:dyDescent="0.2">
      <c r="A59" s="96" t="s">
        <v>48</v>
      </c>
      <c r="B59" s="51"/>
      <c r="C59" s="53" t="s">
        <v>150</v>
      </c>
      <c r="D59" s="52" t="s">
        <v>254</v>
      </c>
      <c r="E59" s="53" t="s">
        <v>322</v>
      </c>
      <c r="F59" s="54">
        <v>304.57</v>
      </c>
      <c r="G59" s="55">
        <v>0</v>
      </c>
      <c r="H59" s="56">
        <f t="shared" si="18"/>
        <v>0</v>
      </c>
      <c r="I59" s="56">
        <v>0</v>
      </c>
      <c r="J59" s="57">
        <f t="shared" si="19"/>
        <v>0</v>
      </c>
      <c r="AE59" s="58">
        <f>G59*0</f>
        <v>0</v>
      </c>
      <c r="AF59" s="58">
        <f>G59*(1-0)</f>
        <v>0</v>
      </c>
    </row>
    <row r="60" spans="1:32" ht="15" customHeight="1" x14ac:dyDescent="0.2">
      <c r="A60" s="96" t="s">
        <v>49</v>
      </c>
      <c r="B60" s="51"/>
      <c r="C60" s="53" t="s">
        <v>150</v>
      </c>
      <c r="D60" s="52" t="s">
        <v>255</v>
      </c>
      <c r="E60" s="53" t="s">
        <v>322</v>
      </c>
      <c r="F60" s="54">
        <v>304.57</v>
      </c>
      <c r="G60" s="55">
        <v>0</v>
      </c>
      <c r="H60" s="56">
        <f t="shared" si="18"/>
        <v>0</v>
      </c>
      <c r="I60" s="56">
        <v>0</v>
      </c>
      <c r="J60" s="57">
        <f t="shared" si="19"/>
        <v>0</v>
      </c>
      <c r="AE60" s="58">
        <f>G60*0</f>
        <v>0</v>
      </c>
      <c r="AF60" s="58">
        <f>G60*(1-0)</f>
        <v>0</v>
      </c>
    </row>
    <row r="61" spans="1:32" ht="15" customHeight="1" x14ac:dyDescent="0.2">
      <c r="A61" s="96" t="s">
        <v>50</v>
      </c>
      <c r="B61" s="51"/>
      <c r="C61" s="53" t="s">
        <v>151</v>
      </c>
      <c r="D61" s="52" t="s">
        <v>256</v>
      </c>
      <c r="E61" s="53" t="s">
        <v>322</v>
      </c>
      <c r="F61" s="54">
        <v>40.6</v>
      </c>
      <c r="G61" s="55">
        <v>0</v>
      </c>
      <c r="H61" s="56">
        <f t="shared" si="18"/>
        <v>0</v>
      </c>
      <c r="I61" s="56">
        <v>0</v>
      </c>
      <c r="J61" s="57">
        <f t="shared" si="19"/>
        <v>0</v>
      </c>
      <c r="AE61" s="58">
        <f>G61*0</f>
        <v>0</v>
      </c>
      <c r="AF61" s="58">
        <f>G61*(1-0)</f>
        <v>0</v>
      </c>
    </row>
    <row r="62" spans="1:32" ht="15" customHeight="1" x14ac:dyDescent="0.2">
      <c r="A62" s="96" t="s">
        <v>51</v>
      </c>
      <c r="B62" s="51"/>
      <c r="C62" s="53" t="s">
        <v>152</v>
      </c>
      <c r="D62" s="52" t="s">
        <v>257</v>
      </c>
      <c r="E62" s="53" t="s">
        <v>322</v>
      </c>
      <c r="F62" s="54">
        <v>32.76</v>
      </c>
      <c r="G62" s="55">
        <v>0</v>
      </c>
      <c r="H62" s="56">
        <f t="shared" si="18"/>
        <v>0</v>
      </c>
      <c r="I62" s="56">
        <v>1.67</v>
      </c>
      <c r="J62" s="57">
        <f t="shared" si="19"/>
        <v>54.709199999999996</v>
      </c>
      <c r="AE62" s="58">
        <f>G62*0.503272335592943</f>
        <v>0</v>
      </c>
      <c r="AF62" s="58">
        <f>G62*(1-0.503272335592943)</f>
        <v>0</v>
      </c>
    </row>
    <row r="63" spans="1:32" ht="15" customHeight="1" x14ac:dyDescent="0.2">
      <c r="A63" s="96" t="s">
        <v>52</v>
      </c>
      <c r="B63" s="51"/>
      <c r="C63" s="53" t="s">
        <v>152</v>
      </c>
      <c r="D63" s="52" t="s">
        <v>258</v>
      </c>
      <c r="E63" s="53" t="s">
        <v>322</v>
      </c>
      <c r="F63" s="54">
        <v>4.16</v>
      </c>
      <c r="G63" s="55">
        <v>0</v>
      </c>
      <c r="H63" s="56">
        <f t="shared" si="18"/>
        <v>0</v>
      </c>
      <c r="I63" s="56">
        <v>1.67</v>
      </c>
      <c r="J63" s="57">
        <f t="shared" si="19"/>
        <v>6.9471999999999996</v>
      </c>
      <c r="AE63" s="58">
        <f>G63*0.503272335592943</f>
        <v>0</v>
      </c>
      <c r="AF63" s="58">
        <f>G63*(1-0.503272335592943)</f>
        <v>0</v>
      </c>
    </row>
    <row r="64" spans="1:32" ht="15" customHeight="1" x14ac:dyDescent="0.2">
      <c r="A64" s="97" t="s">
        <v>1</v>
      </c>
      <c r="B64" s="59" t="s">
        <v>1</v>
      </c>
      <c r="C64" s="61" t="s">
        <v>18</v>
      </c>
      <c r="D64" s="60" t="s">
        <v>259</v>
      </c>
      <c r="E64" s="61" t="s">
        <v>1</v>
      </c>
      <c r="F64" s="62" t="s">
        <v>1</v>
      </c>
      <c r="G64" s="63" t="s">
        <v>1</v>
      </c>
      <c r="H64" s="64">
        <f>SUM(H65:H68)</f>
        <v>0</v>
      </c>
      <c r="I64" s="63" t="s">
        <v>1</v>
      </c>
      <c r="J64" s="65">
        <f>SUM(J65:J68)</f>
        <v>0</v>
      </c>
    </row>
    <row r="65" spans="1:32" ht="15" customHeight="1" x14ac:dyDescent="0.2">
      <c r="A65" s="96" t="s">
        <v>53</v>
      </c>
      <c r="B65" s="51"/>
      <c r="C65" s="53" t="s">
        <v>153</v>
      </c>
      <c r="D65" s="52" t="s">
        <v>260</v>
      </c>
      <c r="E65" s="53" t="s">
        <v>323</v>
      </c>
      <c r="F65" s="54">
        <v>76</v>
      </c>
      <c r="G65" s="55">
        <v>0</v>
      </c>
      <c r="H65" s="56">
        <f>AE65*F65+AF65*F65</f>
        <v>0</v>
      </c>
      <c r="I65" s="56">
        <v>0</v>
      </c>
      <c r="J65" s="57">
        <f>I65*F65</f>
        <v>0</v>
      </c>
      <c r="AE65" s="58">
        <f>G65*0.094885598923284</f>
        <v>0</v>
      </c>
      <c r="AF65" s="58">
        <f>G65*(1-0.094885598923284)</f>
        <v>0</v>
      </c>
    </row>
    <row r="66" spans="1:32" ht="15" customHeight="1" x14ac:dyDescent="0.2">
      <c r="A66" s="96" t="s">
        <v>54</v>
      </c>
      <c r="B66" s="51"/>
      <c r="C66" s="53" t="s">
        <v>409</v>
      </c>
      <c r="D66" s="52" t="s">
        <v>410</v>
      </c>
      <c r="E66" s="53" t="s">
        <v>323</v>
      </c>
      <c r="F66" s="54">
        <v>180</v>
      </c>
      <c r="G66" s="55">
        <v>0</v>
      </c>
      <c r="H66" s="56">
        <f>F66*G66</f>
        <v>0</v>
      </c>
      <c r="I66" s="56">
        <v>0</v>
      </c>
      <c r="J66" s="57">
        <f>I66*F66</f>
        <v>0</v>
      </c>
      <c r="AE66" s="58"/>
      <c r="AF66" s="58"/>
    </row>
    <row r="67" spans="1:32" ht="15" customHeight="1" x14ac:dyDescent="0.2">
      <c r="A67" s="96" t="s">
        <v>55</v>
      </c>
      <c r="B67" s="51"/>
      <c r="C67" s="53" t="s">
        <v>154</v>
      </c>
      <c r="D67" s="52" t="s">
        <v>261</v>
      </c>
      <c r="E67" s="53" t="s">
        <v>323</v>
      </c>
      <c r="F67" s="54">
        <v>2048</v>
      </c>
      <c r="G67" s="55">
        <v>0</v>
      </c>
      <c r="H67" s="56">
        <f>AE67*F67+AF67*F67</f>
        <v>0</v>
      </c>
      <c r="I67" s="56">
        <v>0</v>
      </c>
      <c r="J67" s="57">
        <f>I67*F67</f>
        <v>0</v>
      </c>
      <c r="AE67" s="58">
        <f>G67*0</f>
        <v>0</v>
      </c>
      <c r="AF67" s="58">
        <f>G67*(1-0)</f>
        <v>0</v>
      </c>
    </row>
    <row r="68" spans="1:32" ht="15" customHeight="1" x14ac:dyDescent="0.2">
      <c r="A68" s="96" t="s">
        <v>56</v>
      </c>
      <c r="B68" s="51"/>
      <c r="C68" s="53" t="s">
        <v>155</v>
      </c>
      <c r="D68" s="52" t="s">
        <v>262</v>
      </c>
      <c r="E68" s="53" t="s">
        <v>323</v>
      </c>
      <c r="F68" s="54">
        <v>76</v>
      </c>
      <c r="G68" s="55">
        <v>0</v>
      </c>
      <c r="H68" s="56">
        <f>AE68*F68+AF68*F68</f>
        <v>0</v>
      </c>
      <c r="I68" s="56">
        <v>0</v>
      </c>
      <c r="J68" s="57">
        <f>I68*F68</f>
        <v>0</v>
      </c>
      <c r="AE68" s="58">
        <f>G68*0</f>
        <v>0</v>
      </c>
      <c r="AF68" s="58">
        <f>G68*(1-0)</f>
        <v>0</v>
      </c>
    </row>
    <row r="69" spans="1:32" ht="15" customHeight="1" x14ac:dyDescent="0.2">
      <c r="A69" s="97" t="s">
        <v>1</v>
      </c>
      <c r="B69" s="59" t="s">
        <v>1</v>
      </c>
      <c r="C69" s="61" t="s">
        <v>21</v>
      </c>
      <c r="D69" s="60" t="s">
        <v>263</v>
      </c>
      <c r="E69" s="61" t="s">
        <v>1</v>
      </c>
      <c r="F69" s="62" t="s">
        <v>1</v>
      </c>
      <c r="G69" s="63" t="s">
        <v>1</v>
      </c>
      <c r="H69" s="64">
        <f>SUM(H70:H72)</f>
        <v>0</v>
      </c>
      <c r="I69" s="63" t="s">
        <v>1</v>
      </c>
      <c r="J69" s="65">
        <f>SUM(J70:J72)</f>
        <v>27.075577499999998</v>
      </c>
    </row>
    <row r="70" spans="1:32" ht="15" customHeight="1" x14ac:dyDescent="0.2">
      <c r="A70" s="96" t="s">
        <v>57</v>
      </c>
      <c r="B70" s="51"/>
      <c r="C70" s="53" t="s">
        <v>156</v>
      </c>
      <c r="D70" s="52" t="s">
        <v>264</v>
      </c>
      <c r="E70" s="53" t="s">
        <v>322</v>
      </c>
      <c r="F70" s="54">
        <v>11.2</v>
      </c>
      <c r="G70" s="55">
        <v>0</v>
      </c>
      <c r="H70" s="56">
        <f>AE70*F70+AF70*F70</f>
        <v>0</v>
      </c>
      <c r="I70" s="56">
        <v>1.9205000000000001</v>
      </c>
      <c r="J70" s="57">
        <f>I70*F70</f>
        <v>21.509599999999999</v>
      </c>
      <c r="AE70" s="58">
        <f>G70*0.772945088899945</f>
        <v>0</v>
      </c>
      <c r="AF70" s="58">
        <f>G70*(1-0.772945088899945)</f>
        <v>0</v>
      </c>
    </row>
    <row r="71" spans="1:32" ht="15" customHeight="1" x14ac:dyDescent="0.2">
      <c r="A71" s="96" t="s">
        <v>58</v>
      </c>
      <c r="B71" s="51"/>
      <c r="C71" s="53" t="s">
        <v>157</v>
      </c>
      <c r="D71" s="52" t="s">
        <v>265</v>
      </c>
      <c r="E71" s="53" t="s">
        <v>322</v>
      </c>
      <c r="F71" s="54">
        <v>1.63</v>
      </c>
      <c r="G71" s="55">
        <v>0</v>
      </c>
      <c r="H71" s="56">
        <f>AE71*F71+AF71*F71</f>
        <v>0</v>
      </c>
      <c r="I71" s="56">
        <v>1.9205000000000001</v>
      </c>
      <c r="J71" s="57">
        <f>I71*F71</f>
        <v>3.1304150000000002</v>
      </c>
      <c r="AE71" s="58">
        <f>G71*0.633133930670568</f>
        <v>0</v>
      </c>
      <c r="AF71" s="58">
        <f>G71*(1-0.633133930670568)</f>
        <v>0</v>
      </c>
    </row>
    <row r="72" spans="1:32" ht="15" customHeight="1" x14ac:dyDescent="0.2">
      <c r="A72" s="96" t="s">
        <v>59</v>
      </c>
      <c r="B72" s="51"/>
      <c r="C72" s="53" t="s">
        <v>158</v>
      </c>
      <c r="D72" s="52" t="s">
        <v>425</v>
      </c>
      <c r="E72" s="53" t="s">
        <v>323</v>
      </c>
      <c r="F72" s="54">
        <v>166.25</v>
      </c>
      <c r="G72" s="55">
        <v>0</v>
      </c>
      <c r="H72" s="56">
        <f>AE72*F72+AF72*F72</f>
        <v>0</v>
      </c>
      <c r="I72" s="56">
        <v>1.465E-2</v>
      </c>
      <c r="J72" s="57">
        <f>I72*F72</f>
        <v>2.4355625000000001</v>
      </c>
      <c r="AE72" s="58">
        <f>G72*0.0309981401115933</f>
        <v>0</v>
      </c>
      <c r="AF72" s="58">
        <f>G72*(1-0.0309981401115933)</f>
        <v>0</v>
      </c>
    </row>
    <row r="73" spans="1:32" ht="15" customHeight="1" x14ac:dyDescent="0.2">
      <c r="A73" s="97" t="s">
        <v>1</v>
      </c>
      <c r="B73" s="59" t="s">
        <v>1</v>
      </c>
      <c r="C73" s="61" t="s">
        <v>22</v>
      </c>
      <c r="D73" s="60" t="s">
        <v>266</v>
      </c>
      <c r="E73" s="61" t="s">
        <v>1</v>
      </c>
      <c r="F73" s="62" t="s">
        <v>1</v>
      </c>
      <c r="G73" s="63" t="s">
        <v>1</v>
      </c>
      <c r="H73" s="64">
        <f>SUM(H74:H75)</f>
        <v>0</v>
      </c>
      <c r="I73" s="63" t="s">
        <v>1</v>
      </c>
      <c r="J73" s="65">
        <f>SUM(J74:J75)</f>
        <v>0</v>
      </c>
    </row>
    <row r="74" spans="1:32" ht="15" customHeight="1" x14ac:dyDescent="0.2">
      <c r="A74" s="96" t="s">
        <v>60</v>
      </c>
      <c r="B74" s="51"/>
      <c r="C74" s="53" t="s">
        <v>159</v>
      </c>
      <c r="D74" s="52" t="s">
        <v>267</v>
      </c>
      <c r="E74" s="53" t="s">
        <v>321</v>
      </c>
      <c r="F74" s="54">
        <v>2096.3000000000002</v>
      </c>
      <c r="G74" s="55">
        <v>0</v>
      </c>
      <c r="H74" s="56">
        <f>AE74*F74+AF74*F74</f>
        <v>0</v>
      </c>
      <c r="I74" s="56">
        <v>0</v>
      </c>
      <c r="J74" s="57">
        <f>I74*F74</f>
        <v>0</v>
      </c>
      <c r="AE74" s="58">
        <f>G74*0</f>
        <v>0</v>
      </c>
      <c r="AF74" s="58">
        <f>G74*(1-0)</f>
        <v>0</v>
      </c>
    </row>
    <row r="75" spans="1:32" ht="15" customHeight="1" x14ac:dyDescent="0.2">
      <c r="A75" s="96" t="s">
        <v>61</v>
      </c>
      <c r="B75" s="51"/>
      <c r="C75" s="53" t="s">
        <v>160</v>
      </c>
      <c r="D75" s="52" t="s">
        <v>268</v>
      </c>
      <c r="E75" s="53" t="s">
        <v>321</v>
      </c>
      <c r="F75" s="54">
        <v>2096.3000000000002</v>
      </c>
      <c r="G75" s="55">
        <v>0</v>
      </c>
      <c r="H75" s="56">
        <f>AE75*F75+AF75*F75</f>
        <v>0</v>
      </c>
      <c r="I75" s="56">
        <v>0</v>
      </c>
      <c r="J75" s="57">
        <f>I75*F75</f>
        <v>0</v>
      </c>
      <c r="AE75" s="58">
        <f>G75*0</f>
        <v>0</v>
      </c>
      <c r="AF75" s="58">
        <f>G75*(1-0)</f>
        <v>0</v>
      </c>
    </row>
    <row r="76" spans="1:32" ht="15" customHeight="1" x14ac:dyDescent="0.2">
      <c r="A76" s="97" t="s">
        <v>1</v>
      </c>
      <c r="B76" s="59" t="s">
        <v>1</v>
      </c>
      <c r="C76" s="61" t="s">
        <v>27</v>
      </c>
      <c r="D76" s="60" t="s">
        <v>269</v>
      </c>
      <c r="E76" s="61" t="s">
        <v>1</v>
      </c>
      <c r="F76" s="62" t="s">
        <v>1</v>
      </c>
      <c r="G76" s="63" t="s">
        <v>1</v>
      </c>
      <c r="H76" s="64">
        <f>SUM(H77:H77)</f>
        <v>0</v>
      </c>
      <c r="I76" s="63" t="s">
        <v>1</v>
      </c>
      <c r="J76" s="65">
        <f>SUM(J77:J77)</f>
        <v>0.46405055999999995</v>
      </c>
    </row>
    <row r="77" spans="1:32" ht="15" customHeight="1" x14ac:dyDescent="0.2">
      <c r="A77" s="96" t="s">
        <v>62</v>
      </c>
      <c r="B77" s="51"/>
      <c r="C77" s="53" t="s">
        <v>161</v>
      </c>
      <c r="D77" s="52" t="s">
        <v>270</v>
      </c>
      <c r="E77" s="53" t="s">
        <v>322</v>
      </c>
      <c r="F77" s="54">
        <v>0.192</v>
      </c>
      <c r="G77" s="55">
        <v>0</v>
      </c>
      <c r="H77" s="56">
        <f>AE77*F77+AF77*F77</f>
        <v>0</v>
      </c>
      <c r="I77" s="56">
        <v>2.4169299999999998</v>
      </c>
      <c r="J77" s="57">
        <f>I77*F77</f>
        <v>0.46405055999999995</v>
      </c>
      <c r="AE77" s="58">
        <f>G77*0.926858562284186</f>
        <v>0</v>
      </c>
      <c r="AF77" s="58">
        <f>G77*(1-0.926858562284186)</f>
        <v>0</v>
      </c>
    </row>
    <row r="78" spans="1:32" ht="25.5" x14ac:dyDescent="0.2">
      <c r="A78" s="97" t="s">
        <v>1</v>
      </c>
      <c r="B78" s="59" t="s">
        <v>1</v>
      </c>
      <c r="C78" s="61" t="s">
        <v>45</v>
      </c>
      <c r="D78" s="60" t="s">
        <v>271</v>
      </c>
      <c r="E78" s="61" t="s">
        <v>1</v>
      </c>
      <c r="F78" s="62" t="s">
        <v>1</v>
      </c>
      <c r="G78" s="63" t="s">
        <v>1</v>
      </c>
      <c r="H78" s="64">
        <f>SUM(H79:H81)</f>
        <v>0</v>
      </c>
      <c r="I78" s="63" t="s">
        <v>1</v>
      </c>
      <c r="J78" s="65">
        <f>SUM(J79:J81)</f>
        <v>9.6468480000000003</v>
      </c>
    </row>
    <row r="79" spans="1:32" ht="15" customHeight="1" x14ac:dyDescent="0.2">
      <c r="A79" s="96" t="s">
        <v>63</v>
      </c>
      <c r="B79" s="51"/>
      <c r="C79" s="53" t="s">
        <v>162</v>
      </c>
      <c r="D79" s="52" t="s">
        <v>272</v>
      </c>
      <c r="E79" s="53" t="s">
        <v>322</v>
      </c>
      <c r="F79" s="54">
        <v>7.84</v>
      </c>
      <c r="G79" s="55">
        <v>0</v>
      </c>
      <c r="H79" s="56">
        <f>AE79*F79+AF79*F79</f>
        <v>0</v>
      </c>
      <c r="I79" s="56">
        <v>1.1322000000000001</v>
      </c>
      <c r="J79" s="57">
        <f>I79*F79</f>
        <v>8.8764479999999999</v>
      </c>
      <c r="AE79" s="58">
        <f>G79*0.47124771511746</f>
        <v>0</v>
      </c>
      <c r="AF79" s="58">
        <f>G79*(1-0.47124771511746)</f>
        <v>0</v>
      </c>
    </row>
    <row r="80" spans="1:32" ht="15" customHeight="1" x14ac:dyDescent="0.2">
      <c r="A80" s="96" t="s">
        <v>64</v>
      </c>
      <c r="B80" s="51"/>
      <c r="C80" s="53" t="s">
        <v>163</v>
      </c>
      <c r="D80" s="52" t="s">
        <v>273</v>
      </c>
      <c r="E80" s="53" t="s">
        <v>322</v>
      </c>
      <c r="F80" s="54">
        <v>0.28799999999999998</v>
      </c>
      <c r="G80" s="55">
        <v>0</v>
      </c>
      <c r="H80" s="56">
        <f>AE80*F80+AF80*F80</f>
        <v>0</v>
      </c>
      <c r="I80" s="56">
        <v>2.5</v>
      </c>
      <c r="J80" s="57">
        <f>I80*F80</f>
        <v>0.72</v>
      </c>
      <c r="AE80" s="58">
        <f>G80*0.852692407959911</f>
        <v>0</v>
      </c>
      <c r="AF80" s="58">
        <f>G80*(1-0.852692407959911)</f>
        <v>0</v>
      </c>
    </row>
    <row r="81" spans="1:32" ht="24.95" customHeight="1" x14ac:dyDescent="0.2">
      <c r="A81" s="96" t="s">
        <v>65</v>
      </c>
      <c r="B81" s="51"/>
      <c r="C81" s="53" t="s">
        <v>164</v>
      </c>
      <c r="D81" s="52" t="s">
        <v>411</v>
      </c>
      <c r="E81" s="53" t="s">
        <v>323</v>
      </c>
      <c r="F81" s="54">
        <v>180</v>
      </c>
      <c r="G81" s="55">
        <v>0</v>
      </c>
      <c r="H81" s="56">
        <f>AE81*F81+AF81*F81</f>
        <v>0</v>
      </c>
      <c r="I81" s="56">
        <v>2.7999999999999998E-4</v>
      </c>
      <c r="J81" s="57">
        <f>I81*F81</f>
        <v>5.0399999999999993E-2</v>
      </c>
      <c r="AE81" s="58">
        <f>G81*0.110754985754986</f>
        <v>0</v>
      </c>
      <c r="AF81" s="58">
        <f>G81*(1-0.110754985754986)</f>
        <v>0</v>
      </c>
    </row>
    <row r="82" spans="1:32" ht="15" customHeight="1" x14ac:dyDescent="0.2">
      <c r="A82" s="97" t="s">
        <v>1</v>
      </c>
      <c r="B82" s="59" t="s">
        <v>1</v>
      </c>
      <c r="C82" s="61" t="s">
        <v>46</v>
      </c>
      <c r="D82" s="60" t="s">
        <v>274</v>
      </c>
      <c r="E82" s="61" t="s">
        <v>1</v>
      </c>
      <c r="F82" s="62" t="s">
        <v>1</v>
      </c>
      <c r="G82" s="63" t="s">
        <v>1</v>
      </c>
      <c r="H82" s="64">
        <f>SUM(H83:H86)</f>
        <v>0</v>
      </c>
      <c r="I82" s="63" t="s">
        <v>1</v>
      </c>
      <c r="J82" s="65">
        <f>SUM(J83:J86)</f>
        <v>5.2900000000000003E-2</v>
      </c>
    </row>
    <row r="83" spans="1:32" ht="15" customHeight="1" x14ac:dyDescent="0.2">
      <c r="A83" s="96" t="s">
        <v>66</v>
      </c>
      <c r="B83" s="51"/>
      <c r="C83" s="53" t="s">
        <v>165</v>
      </c>
      <c r="D83" s="52" t="s">
        <v>275</v>
      </c>
      <c r="E83" s="53" t="s">
        <v>325</v>
      </c>
      <c r="F83" s="54">
        <v>23</v>
      </c>
      <c r="G83" s="55">
        <v>0</v>
      </c>
      <c r="H83" s="56">
        <f>AE83*F83+AF83*F83</f>
        <v>0</v>
      </c>
      <c r="I83" s="56">
        <v>0</v>
      </c>
      <c r="J83" s="57">
        <f>I83*F83</f>
        <v>0</v>
      </c>
      <c r="AE83" s="58">
        <f>G83*0</f>
        <v>0</v>
      </c>
      <c r="AF83" s="58">
        <f>G83*(1-0)</f>
        <v>0</v>
      </c>
    </row>
    <row r="84" spans="1:32" ht="15" customHeight="1" x14ac:dyDescent="0.2">
      <c r="A84" s="96" t="s">
        <v>67</v>
      </c>
      <c r="B84" s="51"/>
      <c r="C84" s="53" t="s">
        <v>166</v>
      </c>
      <c r="D84" s="52" t="s">
        <v>276</v>
      </c>
      <c r="E84" s="53" t="s">
        <v>325</v>
      </c>
      <c r="F84" s="54">
        <v>23</v>
      </c>
      <c r="G84" s="55">
        <v>0</v>
      </c>
      <c r="H84" s="56">
        <f>AE84*F84+AF84*F84</f>
        <v>0</v>
      </c>
      <c r="I84" s="56">
        <v>2.3E-3</v>
      </c>
      <c r="J84" s="57">
        <f>I84*F84</f>
        <v>5.2900000000000003E-2</v>
      </c>
      <c r="AE84" s="58">
        <f>G84*0.830451612903226</f>
        <v>0</v>
      </c>
      <c r="AF84" s="58">
        <f>G84*(1-0.830451612903226)</f>
        <v>0</v>
      </c>
    </row>
    <row r="85" spans="1:32" ht="15" customHeight="1" x14ac:dyDescent="0.2">
      <c r="A85" s="96" t="s">
        <v>68</v>
      </c>
      <c r="B85" s="51"/>
      <c r="C85" s="53" t="s">
        <v>167</v>
      </c>
      <c r="D85" s="52" t="s">
        <v>277</v>
      </c>
      <c r="E85" s="53" t="s">
        <v>325</v>
      </c>
      <c r="F85" s="54">
        <v>23</v>
      </c>
      <c r="G85" s="55">
        <v>0</v>
      </c>
      <c r="H85" s="56">
        <f>AE85*F85+AF85*F85</f>
        <v>0</v>
      </c>
      <c r="I85" s="56">
        <v>0</v>
      </c>
      <c r="J85" s="57">
        <f>I85*F85</f>
        <v>0</v>
      </c>
      <c r="AE85" s="58">
        <f>G85*0</f>
        <v>0</v>
      </c>
      <c r="AF85" s="58">
        <f>G85*(1-0)</f>
        <v>0</v>
      </c>
    </row>
    <row r="86" spans="1:32" ht="15" customHeight="1" x14ac:dyDescent="0.2">
      <c r="A86" s="96" t="s">
        <v>69</v>
      </c>
      <c r="B86" s="51"/>
      <c r="C86" s="53" t="s">
        <v>168</v>
      </c>
      <c r="D86" s="52" t="s">
        <v>278</v>
      </c>
      <c r="E86" s="53" t="s">
        <v>322</v>
      </c>
      <c r="F86" s="54">
        <v>5.52</v>
      </c>
      <c r="G86" s="55">
        <v>0</v>
      </c>
      <c r="H86" s="56">
        <f>AE86*F86+AF86*F86</f>
        <v>0</v>
      </c>
      <c r="I86" s="56">
        <v>0</v>
      </c>
      <c r="J86" s="57">
        <f>I86*F86</f>
        <v>0</v>
      </c>
      <c r="AE86" s="58">
        <f>G86*0</f>
        <v>0</v>
      </c>
      <c r="AF86" s="58">
        <f>G86*(1-0)</f>
        <v>0</v>
      </c>
    </row>
    <row r="87" spans="1:32" ht="15" customHeight="1" x14ac:dyDescent="0.2">
      <c r="A87" s="97" t="s">
        <v>1</v>
      </c>
      <c r="B87" s="59" t="s">
        <v>1</v>
      </c>
      <c r="C87" s="61" t="s">
        <v>56</v>
      </c>
      <c r="D87" s="60" t="s">
        <v>279</v>
      </c>
      <c r="E87" s="61" t="s">
        <v>1</v>
      </c>
      <c r="F87" s="62" t="s">
        <v>1</v>
      </c>
      <c r="G87" s="63" t="s">
        <v>1</v>
      </c>
      <c r="H87" s="64">
        <f>SUM(H88:H92)</f>
        <v>0</v>
      </c>
      <c r="I87" s="63" t="s">
        <v>1</v>
      </c>
      <c r="J87" s="65">
        <f>SUM(J88:J92)</f>
        <v>1562.4999500000001</v>
      </c>
    </row>
    <row r="88" spans="1:32" ht="15" customHeight="1" x14ac:dyDescent="0.2">
      <c r="A88" s="96" t="s">
        <v>70</v>
      </c>
      <c r="B88" s="51"/>
      <c r="C88" s="53" t="s">
        <v>169</v>
      </c>
      <c r="D88" s="52" t="s">
        <v>280</v>
      </c>
      <c r="E88" s="53" t="s">
        <v>323</v>
      </c>
      <c r="F88" s="54">
        <v>1927</v>
      </c>
      <c r="G88" s="55">
        <v>0</v>
      </c>
      <c r="H88" s="56">
        <f>AE88*F88+AF88*F88</f>
        <v>0</v>
      </c>
      <c r="I88" s="56">
        <v>0.27994000000000002</v>
      </c>
      <c r="J88" s="57">
        <f>I88*F88</f>
        <v>539.44438000000002</v>
      </c>
      <c r="AE88" s="58">
        <f>G88*0.840930738876038</f>
        <v>0</v>
      </c>
      <c r="AF88" s="58">
        <f>G88*(1-0.840930738876038)</f>
        <v>0</v>
      </c>
    </row>
    <row r="89" spans="1:32" ht="15" customHeight="1" x14ac:dyDescent="0.2">
      <c r="A89" s="96" t="s">
        <v>71</v>
      </c>
      <c r="B89" s="51"/>
      <c r="C89" s="53" t="s">
        <v>169</v>
      </c>
      <c r="D89" s="52" t="s">
        <v>281</v>
      </c>
      <c r="E89" s="53" t="s">
        <v>323</v>
      </c>
      <c r="F89" s="54">
        <v>2048</v>
      </c>
      <c r="G89" s="55">
        <v>0</v>
      </c>
      <c r="H89" s="56">
        <f>AE89*F89+AF89*F89</f>
        <v>0</v>
      </c>
      <c r="I89" s="56">
        <v>0.27994000000000002</v>
      </c>
      <c r="J89" s="57">
        <f>I89*F89</f>
        <v>573.31712000000005</v>
      </c>
      <c r="AE89" s="58">
        <f>G89*0.840930738876038</f>
        <v>0</v>
      </c>
      <c r="AF89" s="58">
        <f>G89*(1-0.840930738876038)</f>
        <v>0</v>
      </c>
    </row>
    <row r="90" spans="1:32" ht="25.5" x14ac:dyDescent="0.2">
      <c r="A90" s="96" t="s">
        <v>72</v>
      </c>
      <c r="B90" s="51"/>
      <c r="C90" s="53" t="s">
        <v>170</v>
      </c>
      <c r="D90" s="52" t="s">
        <v>282</v>
      </c>
      <c r="E90" s="53" t="s">
        <v>323</v>
      </c>
      <c r="F90" s="54">
        <v>1898</v>
      </c>
      <c r="G90" s="55">
        <v>0</v>
      </c>
      <c r="H90" s="56">
        <f>AE90*F90+AF90*F90</f>
        <v>0</v>
      </c>
      <c r="I90" s="56">
        <v>0.18462999999999999</v>
      </c>
      <c r="J90" s="57">
        <f>I90*F90</f>
        <v>350.42773999999997</v>
      </c>
      <c r="AE90" s="58">
        <f>G90*0.879368106380785</f>
        <v>0</v>
      </c>
      <c r="AF90" s="58">
        <f>G90*(1-0.879368106380785)</f>
        <v>0</v>
      </c>
    </row>
    <row r="91" spans="1:32" x14ac:dyDescent="0.2">
      <c r="A91" s="96" t="s">
        <v>73</v>
      </c>
      <c r="B91" s="51"/>
      <c r="C91" s="53" t="s">
        <v>390</v>
      </c>
      <c r="D91" s="52" t="s">
        <v>391</v>
      </c>
      <c r="E91" s="53" t="s">
        <v>323</v>
      </c>
      <c r="F91" s="54">
        <v>372</v>
      </c>
      <c r="G91" s="55">
        <v>0</v>
      </c>
      <c r="H91" s="56">
        <f>F91*G91</f>
        <v>0</v>
      </c>
      <c r="I91" s="56">
        <v>0.06</v>
      </c>
      <c r="J91" s="57">
        <f>I91*F91</f>
        <v>22.32</v>
      </c>
      <c r="AE91" s="58"/>
      <c r="AF91" s="58"/>
    </row>
    <row r="92" spans="1:32" ht="25.5" x14ac:dyDescent="0.2">
      <c r="A92" s="96" t="s">
        <v>74</v>
      </c>
      <c r="B92" s="51"/>
      <c r="C92" s="53" t="s">
        <v>170</v>
      </c>
      <c r="D92" s="52" t="s">
        <v>282</v>
      </c>
      <c r="E92" s="53" t="s">
        <v>323</v>
      </c>
      <c r="F92" s="54">
        <v>417</v>
      </c>
      <c r="G92" s="55">
        <v>0</v>
      </c>
      <c r="H92" s="56">
        <f>AE92*F92+AF92*F92</f>
        <v>0</v>
      </c>
      <c r="I92" s="56">
        <v>0.18462999999999999</v>
      </c>
      <c r="J92" s="57">
        <f>I92*F92</f>
        <v>76.990709999999993</v>
      </c>
      <c r="AE92" s="58">
        <f>G92*0.879368106380785</f>
        <v>0</v>
      </c>
      <c r="AF92" s="58">
        <f>G92*(1-0.879368106380785)</f>
        <v>0</v>
      </c>
    </row>
    <row r="93" spans="1:32" ht="25.5" x14ac:dyDescent="0.2">
      <c r="A93" s="97" t="s">
        <v>1</v>
      </c>
      <c r="B93" s="59" t="s">
        <v>1</v>
      </c>
      <c r="C93" s="61" t="s">
        <v>57</v>
      </c>
      <c r="D93" s="60" t="s">
        <v>283</v>
      </c>
      <c r="E93" s="61" t="s">
        <v>1</v>
      </c>
      <c r="F93" s="62" t="s">
        <v>1</v>
      </c>
      <c r="G93" s="63" t="s">
        <v>1</v>
      </c>
      <c r="H93" s="64">
        <f>SUM(H94:H97)</f>
        <v>0</v>
      </c>
      <c r="I93" s="63" t="s">
        <v>1</v>
      </c>
      <c r="J93" s="65">
        <f>SUM(J94:J97)</f>
        <v>241.65143999999998</v>
      </c>
    </row>
    <row r="94" spans="1:32" ht="15" customHeight="1" x14ac:dyDescent="0.2">
      <c r="A94" s="96" t="s">
        <v>75</v>
      </c>
      <c r="B94" s="51"/>
      <c r="C94" s="53" t="s">
        <v>171</v>
      </c>
      <c r="D94" s="52" t="s">
        <v>284</v>
      </c>
      <c r="E94" s="53" t="s">
        <v>323</v>
      </c>
      <c r="F94" s="54">
        <v>1899</v>
      </c>
      <c r="G94" s="55">
        <v>0</v>
      </c>
      <c r="H94" s="56">
        <f>AE94*F94+AF94*F94</f>
        <v>0</v>
      </c>
      <c r="I94" s="56">
        <v>6.0999999999999997E-4</v>
      </c>
      <c r="J94" s="57">
        <f>I94*F94</f>
        <v>1.15839</v>
      </c>
      <c r="AE94" s="58">
        <f>G94*0.91108545034642</f>
        <v>0</v>
      </c>
      <c r="AF94" s="58">
        <f>G94*(1-0.91108545034642)</f>
        <v>0</v>
      </c>
    </row>
    <row r="95" spans="1:32" ht="15" customHeight="1" x14ac:dyDescent="0.2">
      <c r="A95" s="96" t="s">
        <v>76</v>
      </c>
      <c r="B95" s="51"/>
      <c r="C95" s="53" t="s">
        <v>171</v>
      </c>
      <c r="D95" s="52" t="s">
        <v>284</v>
      </c>
      <c r="E95" s="53" t="s">
        <v>323</v>
      </c>
      <c r="F95" s="54">
        <v>417</v>
      </c>
      <c r="G95" s="55">
        <v>0</v>
      </c>
      <c r="H95" s="56">
        <f>AE95*F95+AF95*F95</f>
        <v>0</v>
      </c>
      <c r="I95" s="56">
        <v>6.0999999999999997E-4</v>
      </c>
      <c r="J95" s="57">
        <f>I95*F95</f>
        <v>0.25436999999999999</v>
      </c>
      <c r="AE95" s="58">
        <f>G95*0.91108545034642</f>
        <v>0</v>
      </c>
      <c r="AF95" s="58">
        <f>G95*(1-0.91108545034642)</f>
        <v>0</v>
      </c>
    </row>
    <row r="96" spans="1:32" ht="15" customHeight="1" x14ac:dyDescent="0.2">
      <c r="A96" s="96" t="s">
        <v>77</v>
      </c>
      <c r="B96" s="51"/>
      <c r="C96" s="53" t="s">
        <v>172</v>
      </c>
      <c r="D96" s="52" t="s">
        <v>285</v>
      </c>
      <c r="E96" s="53" t="s">
        <v>323</v>
      </c>
      <c r="F96" s="54">
        <v>1899</v>
      </c>
      <c r="G96" s="55">
        <v>0</v>
      </c>
      <c r="H96" s="56">
        <f>AE96*F96+AF96*F96</f>
        <v>0</v>
      </c>
      <c r="I96" s="56">
        <v>0.10373</v>
      </c>
      <c r="J96" s="57">
        <f>I96*F96</f>
        <v>196.98327</v>
      </c>
      <c r="AE96" s="58">
        <f>G96*0.922394146575507</f>
        <v>0</v>
      </c>
      <c r="AF96" s="58">
        <f>G96*(1-0.922394146575507)</f>
        <v>0</v>
      </c>
    </row>
    <row r="97" spans="1:32" ht="15" customHeight="1" x14ac:dyDescent="0.2">
      <c r="A97" s="96" t="s">
        <v>78</v>
      </c>
      <c r="B97" s="51"/>
      <c r="C97" s="53" t="s">
        <v>172</v>
      </c>
      <c r="D97" s="52" t="s">
        <v>285</v>
      </c>
      <c r="E97" s="53" t="s">
        <v>323</v>
      </c>
      <c r="F97" s="54">
        <v>417</v>
      </c>
      <c r="G97" s="55">
        <v>0</v>
      </c>
      <c r="H97" s="56">
        <f>AE97*F97+AF97*F97</f>
        <v>0</v>
      </c>
      <c r="I97" s="56">
        <v>0.10373</v>
      </c>
      <c r="J97" s="57">
        <f>I97*F97</f>
        <v>43.255409999999998</v>
      </c>
      <c r="AE97" s="58">
        <f>G97*0.922394146575507</f>
        <v>0</v>
      </c>
      <c r="AF97" s="58">
        <f>G97*(1-0.922394146575507)</f>
        <v>0</v>
      </c>
    </row>
    <row r="98" spans="1:32" ht="25.5" x14ac:dyDescent="0.2">
      <c r="A98" s="97" t="s">
        <v>1</v>
      </c>
      <c r="B98" s="59" t="s">
        <v>1</v>
      </c>
      <c r="C98" s="61" t="s">
        <v>59</v>
      </c>
      <c r="D98" s="60" t="s">
        <v>286</v>
      </c>
      <c r="E98" s="61" t="s">
        <v>1</v>
      </c>
      <c r="F98" s="62" t="s">
        <v>1</v>
      </c>
      <c r="G98" s="63" t="s">
        <v>1</v>
      </c>
      <c r="H98" s="74">
        <f>SUM(H99:H99)</f>
        <v>0</v>
      </c>
      <c r="I98" s="63" t="s">
        <v>1</v>
      </c>
      <c r="J98" s="65">
        <f>SUM(J99:J99)</f>
        <v>0.94264999999999999</v>
      </c>
    </row>
    <row r="99" spans="1:32" ht="15" customHeight="1" x14ac:dyDescent="0.2">
      <c r="A99" s="96" t="s">
        <v>79</v>
      </c>
      <c r="B99" s="51"/>
      <c r="C99" s="53" t="s">
        <v>173</v>
      </c>
      <c r="D99" s="52" t="s">
        <v>287</v>
      </c>
      <c r="E99" s="53" t="s">
        <v>323</v>
      </c>
      <c r="F99" s="54">
        <v>17</v>
      </c>
      <c r="G99" s="55">
        <v>0</v>
      </c>
      <c r="H99" s="56">
        <f>AE99*F99+AF99*F99</f>
        <v>0</v>
      </c>
      <c r="I99" s="56">
        <v>5.5449999999999999E-2</v>
      </c>
      <c r="J99" s="57">
        <f>I99*F99</f>
        <v>0.94264999999999999</v>
      </c>
      <c r="AE99" s="58">
        <f>G99*0.135923270683976</f>
        <v>0</v>
      </c>
      <c r="AF99" s="58">
        <f>G99*(1-0.135923270683976)</f>
        <v>0</v>
      </c>
    </row>
    <row r="100" spans="1:32" ht="15" customHeight="1" x14ac:dyDescent="0.2">
      <c r="A100" s="97" t="s">
        <v>1</v>
      </c>
      <c r="B100" s="59" t="s">
        <v>1</v>
      </c>
      <c r="C100" s="61" t="s">
        <v>87</v>
      </c>
      <c r="D100" s="60" t="s">
        <v>288</v>
      </c>
      <c r="E100" s="61" t="s">
        <v>1</v>
      </c>
      <c r="F100" s="62" t="s">
        <v>1</v>
      </c>
      <c r="G100" s="63" t="s">
        <v>1</v>
      </c>
      <c r="H100" s="64">
        <f>SUM(H101:H105)</f>
        <v>0</v>
      </c>
      <c r="I100" s="63" t="s">
        <v>1</v>
      </c>
      <c r="J100" s="65">
        <f>SUM(J101:J105)</f>
        <v>2.0700000000000002E-3</v>
      </c>
    </row>
    <row r="101" spans="1:32" ht="15" customHeight="1" x14ac:dyDescent="0.2">
      <c r="A101" s="96" t="s">
        <v>80</v>
      </c>
      <c r="B101" s="51"/>
      <c r="C101" s="53" t="s">
        <v>174</v>
      </c>
      <c r="D101" s="52" t="s">
        <v>412</v>
      </c>
      <c r="E101" s="53" t="s">
        <v>324</v>
      </c>
      <c r="F101" s="54">
        <v>2</v>
      </c>
      <c r="G101" s="55">
        <v>0</v>
      </c>
      <c r="H101" s="56">
        <f>AE101*F101+AF101*F101</f>
        <v>0</v>
      </c>
      <c r="I101" s="56">
        <v>1.0000000000000001E-5</v>
      </c>
      <c r="J101" s="57">
        <f>I101*F101</f>
        <v>2.0000000000000002E-5</v>
      </c>
      <c r="AE101" s="58">
        <f>G101*0.110014870738961</f>
        <v>0</v>
      </c>
      <c r="AF101" s="58">
        <f>G101*(1-0.110014870738961)</f>
        <v>0</v>
      </c>
    </row>
    <row r="102" spans="1:32" ht="15" customHeight="1" x14ac:dyDescent="0.2">
      <c r="A102" s="96" t="s">
        <v>81</v>
      </c>
      <c r="B102" s="51"/>
      <c r="C102" s="53" t="s">
        <v>175</v>
      </c>
      <c r="D102" s="52" t="s">
        <v>289</v>
      </c>
      <c r="E102" s="53" t="s">
        <v>325</v>
      </c>
      <c r="F102" s="54">
        <v>86</v>
      </c>
      <c r="G102" s="55">
        <v>0</v>
      </c>
      <c r="H102" s="56">
        <f>AE102*F102+AF102*F102</f>
        <v>0</v>
      </c>
      <c r="I102" s="56">
        <v>2.0000000000000002E-5</v>
      </c>
      <c r="J102" s="57">
        <f>I102*F102</f>
        <v>1.7200000000000002E-3</v>
      </c>
      <c r="AE102" s="58">
        <f>G102*0.00293772032902468</f>
        <v>0</v>
      </c>
      <c r="AF102" s="58">
        <f>G102*(1-0.00293772032902468)</f>
        <v>0</v>
      </c>
    </row>
    <row r="103" spans="1:32" ht="15" customHeight="1" x14ac:dyDescent="0.2">
      <c r="A103" s="96" t="s">
        <v>82</v>
      </c>
      <c r="B103" s="51"/>
      <c r="C103" s="53" t="s">
        <v>176</v>
      </c>
      <c r="D103" s="52" t="s">
        <v>290</v>
      </c>
      <c r="E103" s="53" t="s">
        <v>325</v>
      </c>
      <c r="F103" s="54">
        <v>93</v>
      </c>
      <c r="G103" s="55">
        <v>0</v>
      </c>
      <c r="H103" s="56">
        <f>AE103*F103+AF103*F103</f>
        <v>0</v>
      </c>
      <c r="I103" s="56">
        <v>0</v>
      </c>
      <c r="J103" s="57">
        <f>I103*F103</f>
        <v>0</v>
      </c>
      <c r="AE103" s="58">
        <f>G103*0</f>
        <v>0</v>
      </c>
      <c r="AF103" s="58">
        <f>G103*(1-0)</f>
        <v>0</v>
      </c>
    </row>
    <row r="104" spans="1:32" ht="25.5" x14ac:dyDescent="0.2">
      <c r="A104" s="96" t="s">
        <v>83</v>
      </c>
      <c r="B104" s="51"/>
      <c r="C104" s="53" t="s">
        <v>177</v>
      </c>
      <c r="D104" s="52" t="s">
        <v>291</v>
      </c>
      <c r="E104" s="53" t="s">
        <v>325</v>
      </c>
      <c r="F104" s="54">
        <v>18</v>
      </c>
      <c r="G104" s="55">
        <v>0</v>
      </c>
      <c r="H104" s="56">
        <f>AE104*F104+AF104*F104</f>
        <v>0</v>
      </c>
      <c r="I104" s="56">
        <v>1.0000000000000001E-5</v>
      </c>
      <c r="J104" s="57">
        <f>I104*F104</f>
        <v>1.8000000000000001E-4</v>
      </c>
      <c r="AE104" s="58">
        <f>G104*0.00611745513866232</f>
        <v>0</v>
      </c>
      <c r="AF104" s="58">
        <f>G104*(1-0.00611745513866232)</f>
        <v>0</v>
      </c>
    </row>
    <row r="105" spans="1:32" ht="15" customHeight="1" x14ac:dyDescent="0.2">
      <c r="A105" s="96" t="s">
        <v>84</v>
      </c>
      <c r="B105" s="51"/>
      <c r="C105" s="53" t="s">
        <v>178</v>
      </c>
      <c r="D105" s="52" t="s">
        <v>292</v>
      </c>
      <c r="E105" s="53" t="s">
        <v>324</v>
      </c>
      <c r="F105" s="54">
        <v>5</v>
      </c>
      <c r="G105" s="55">
        <v>0</v>
      </c>
      <c r="H105" s="56">
        <f>AE105*F105+AF105*F105</f>
        <v>0</v>
      </c>
      <c r="I105" s="56">
        <v>3.0000000000000001E-5</v>
      </c>
      <c r="J105" s="57">
        <f>I105*F105</f>
        <v>1.5000000000000001E-4</v>
      </c>
      <c r="AE105" s="58">
        <f>G105*0.00770606852896656</f>
        <v>0</v>
      </c>
      <c r="AF105" s="58">
        <f>G105*(1-0.00770606852896656)</f>
        <v>0</v>
      </c>
    </row>
    <row r="106" spans="1:32" ht="15" customHeight="1" x14ac:dyDescent="0.2">
      <c r="A106" s="97" t="s">
        <v>1</v>
      </c>
      <c r="B106" s="59" t="s">
        <v>1</v>
      </c>
      <c r="C106" s="61" t="s">
        <v>89</v>
      </c>
      <c r="D106" s="60" t="s">
        <v>293</v>
      </c>
      <c r="E106" s="61" t="s">
        <v>1</v>
      </c>
      <c r="F106" s="62" t="s">
        <v>1</v>
      </c>
      <c r="G106" s="63" t="s">
        <v>1</v>
      </c>
      <c r="H106" s="64">
        <f>SUM(H107:H110)</f>
        <v>0</v>
      </c>
      <c r="I106" s="63" t="s">
        <v>1</v>
      </c>
      <c r="J106" s="65">
        <f>SUM(J107:J110)</f>
        <v>25.334050000000001</v>
      </c>
    </row>
    <row r="107" spans="1:32" ht="15" customHeight="1" x14ac:dyDescent="0.2">
      <c r="A107" s="96" t="s">
        <v>85</v>
      </c>
      <c r="B107" s="51"/>
      <c r="C107" s="53" t="s">
        <v>179</v>
      </c>
      <c r="D107" s="52" t="s">
        <v>294</v>
      </c>
      <c r="E107" s="53" t="s">
        <v>324</v>
      </c>
      <c r="F107" s="54">
        <v>2</v>
      </c>
      <c r="G107" s="55">
        <v>0</v>
      </c>
      <c r="H107" s="56">
        <f>AE107*F107+AF107*F107</f>
        <v>0</v>
      </c>
      <c r="I107" s="56">
        <v>1.8644000000000001</v>
      </c>
      <c r="J107" s="57">
        <f>I107*F107</f>
        <v>3.7288000000000001</v>
      </c>
      <c r="AE107" s="58">
        <f>G107*0.23875340299306</f>
        <v>0</v>
      </c>
      <c r="AF107" s="58">
        <f>G107*(1-0.23875340299306)</f>
        <v>0</v>
      </c>
    </row>
    <row r="108" spans="1:32" ht="15" customHeight="1" x14ac:dyDescent="0.2">
      <c r="A108" s="96" t="s">
        <v>86</v>
      </c>
      <c r="B108" s="51"/>
      <c r="C108" s="53" t="s">
        <v>180</v>
      </c>
      <c r="D108" s="52" t="s">
        <v>413</v>
      </c>
      <c r="E108" s="53" t="s">
        <v>324</v>
      </c>
      <c r="F108" s="54">
        <v>7</v>
      </c>
      <c r="G108" s="55">
        <v>0</v>
      </c>
      <c r="H108" s="56">
        <f>AE108*F108+AF108*F108</f>
        <v>0</v>
      </c>
      <c r="I108" s="56">
        <v>2.9291700000000001</v>
      </c>
      <c r="J108" s="57">
        <f>I108*F108</f>
        <v>20.504190000000001</v>
      </c>
      <c r="AE108" s="58">
        <f>G108*0.839453867317128</f>
        <v>0</v>
      </c>
      <c r="AF108" s="58">
        <f>G108*(1-0.839453867317128)</f>
        <v>0</v>
      </c>
    </row>
    <row r="109" spans="1:32" ht="15" customHeight="1" x14ac:dyDescent="0.2">
      <c r="A109" s="96" t="s">
        <v>87</v>
      </c>
      <c r="B109" s="51"/>
      <c r="C109" s="53" t="s">
        <v>181</v>
      </c>
      <c r="D109" s="52" t="s">
        <v>295</v>
      </c>
      <c r="E109" s="53" t="s">
        <v>324</v>
      </c>
      <c r="F109" s="54">
        <v>2</v>
      </c>
      <c r="G109" s="55">
        <v>0</v>
      </c>
      <c r="H109" s="56">
        <f>AE109*F109+AF109*F109</f>
        <v>0</v>
      </c>
      <c r="I109" s="56">
        <v>0.13102</v>
      </c>
      <c r="J109" s="57">
        <f>I109*F109</f>
        <v>0.26204</v>
      </c>
      <c r="AE109" s="58">
        <f>G109*0.88143058936909</f>
        <v>0</v>
      </c>
      <c r="AF109" s="58">
        <f>G109*(1-0.88143058936909)</f>
        <v>0</v>
      </c>
    </row>
    <row r="110" spans="1:32" ht="15" customHeight="1" x14ac:dyDescent="0.2">
      <c r="A110" s="96" t="s">
        <v>88</v>
      </c>
      <c r="B110" s="51"/>
      <c r="C110" s="53" t="s">
        <v>182</v>
      </c>
      <c r="D110" s="52" t="s">
        <v>296</v>
      </c>
      <c r="E110" s="53" t="s">
        <v>324</v>
      </c>
      <c r="F110" s="54">
        <v>7</v>
      </c>
      <c r="G110" s="55">
        <v>0</v>
      </c>
      <c r="H110" s="56">
        <f>AE110*F110+AF110*F110</f>
        <v>0</v>
      </c>
      <c r="I110" s="56">
        <v>0.11985999999999999</v>
      </c>
      <c r="J110" s="57">
        <f>I110*F110</f>
        <v>0.83901999999999999</v>
      </c>
      <c r="AE110" s="58">
        <f>G110*0.833627573842171</f>
        <v>0</v>
      </c>
      <c r="AF110" s="58">
        <f>G110*(1-0.833627573842171)</f>
        <v>0</v>
      </c>
    </row>
    <row r="111" spans="1:32" ht="25.5" x14ac:dyDescent="0.2">
      <c r="A111" s="97" t="s">
        <v>1</v>
      </c>
      <c r="B111" s="59" t="s">
        <v>1</v>
      </c>
      <c r="C111" s="61" t="s">
        <v>91</v>
      </c>
      <c r="D111" s="60" t="s">
        <v>297</v>
      </c>
      <c r="E111" s="61" t="s">
        <v>1</v>
      </c>
      <c r="F111" s="62" t="s">
        <v>1</v>
      </c>
      <c r="G111" s="63" t="s">
        <v>1</v>
      </c>
      <c r="H111" s="64">
        <f>SUM(H112:H123)</f>
        <v>0</v>
      </c>
      <c r="I111" s="63" t="s">
        <v>1</v>
      </c>
      <c r="J111" s="65">
        <f>SUM(J112:J123)</f>
        <v>79.72981799999998</v>
      </c>
    </row>
    <row r="112" spans="1:32" ht="15" customHeight="1" x14ac:dyDescent="0.2">
      <c r="A112" s="96" t="s">
        <v>89</v>
      </c>
      <c r="B112" s="51"/>
      <c r="C112" s="53" t="s">
        <v>183</v>
      </c>
      <c r="D112" s="52" t="s">
        <v>298</v>
      </c>
      <c r="E112" s="53" t="s">
        <v>324</v>
      </c>
      <c r="F112" s="54">
        <v>3</v>
      </c>
      <c r="G112" s="55">
        <v>0</v>
      </c>
      <c r="H112" s="56">
        <f t="shared" ref="H112:H123" si="20">AE112*F112+AF112*F112</f>
        <v>0</v>
      </c>
      <c r="I112" s="56">
        <v>0.24590000000000001</v>
      </c>
      <c r="J112" s="57">
        <f t="shared" ref="J112:J123" si="21">I112*F112</f>
        <v>0.73770000000000002</v>
      </c>
      <c r="AE112" s="58">
        <f>G112*0.492636429345862</f>
        <v>0</v>
      </c>
      <c r="AF112" s="58">
        <f>G112*(1-0.492636429345862)</f>
        <v>0</v>
      </c>
    </row>
    <row r="113" spans="1:32" ht="15" customHeight="1" x14ac:dyDescent="0.2">
      <c r="A113" s="96" t="s">
        <v>90</v>
      </c>
      <c r="B113" s="51"/>
      <c r="C113" s="53" t="s">
        <v>184</v>
      </c>
      <c r="D113" s="52" t="s">
        <v>299</v>
      </c>
      <c r="E113" s="53" t="s">
        <v>325</v>
      </c>
      <c r="F113" s="54">
        <v>329.4</v>
      </c>
      <c r="G113" s="55">
        <v>0</v>
      </c>
      <c r="H113" s="56">
        <f t="shared" si="20"/>
        <v>0</v>
      </c>
      <c r="I113" s="56">
        <v>8.2320000000000004E-2</v>
      </c>
      <c r="J113" s="57">
        <f t="shared" si="21"/>
        <v>27.116208</v>
      </c>
      <c r="AE113" s="58">
        <f>G113*0.634189189189189</f>
        <v>0</v>
      </c>
      <c r="AF113" s="58">
        <f>G113*(1-0.634189189189189)</f>
        <v>0</v>
      </c>
    </row>
    <row r="114" spans="1:32" ht="15" customHeight="1" x14ac:dyDescent="0.2">
      <c r="A114" s="96" t="s">
        <v>91</v>
      </c>
      <c r="B114" s="51"/>
      <c r="C114" s="53" t="s">
        <v>185</v>
      </c>
      <c r="D114" s="52" t="s">
        <v>300</v>
      </c>
      <c r="E114" s="53" t="s">
        <v>325</v>
      </c>
      <c r="F114" s="54">
        <v>575</v>
      </c>
      <c r="G114" s="55">
        <v>0</v>
      </c>
      <c r="H114" s="56">
        <f t="shared" si="20"/>
        <v>0</v>
      </c>
      <c r="I114" s="56">
        <v>9.0000000000000006E-5</v>
      </c>
      <c r="J114" s="57">
        <f t="shared" si="21"/>
        <v>5.1750000000000004E-2</v>
      </c>
      <c r="AE114" s="58">
        <f>G114*0.663783783783784</f>
        <v>0</v>
      </c>
      <c r="AF114" s="58">
        <f>G114*(1-0.663783783783784)</f>
        <v>0</v>
      </c>
    </row>
    <row r="115" spans="1:32" ht="15" customHeight="1" x14ac:dyDescent="0.2">
      <c r="A115" s="96" t="s">
        <v>92</v>
      </c>
      <c r="B115" s="51"/>
      <c r="C115" s="53" t="s">
        <v>186</v>
      </c>
      <c r="D115" s="52" t="s">
        <v>301</v>
      </c>
      <c r="E115" s="53" t="s">
        <v>323</v>
      </c>
      <c r="F115" s="54">
        <v>50</v>
      </c>
      <c r="G115" s="55">
        <v>0</v>
      </c>
      <c r="H115" s="56">
        <f t="shared" si="20"/>
        <v>0</v>
      </c>
      <c r="I115" s="56">
        <v>7.6000000000000004E-4</v>
      </c>
      <c r="J115" s="57">
        <f t="shared" si="21"/>
        <v>3.7999999999999999E-2</v>
      </c>
      <c r="AE115" s="58">
        <f>G115*0.3832</f>
        <v>0</v>
      </c>
      <c r="AF115" s="58">
        <f>G115*(1-0.3832)</f>
        <v>0</v>
      </c>
    </row>
    <row r="116" spans="1:32" ht="15" customHeight="1" x14ac:dyDescent="0.2">
      <c r="A116" s="96" t="s">
        <v>93</v>
      </c>
      <c r="B116" s="51"/>
      <c r="C116" s="53" t="s">
        <v>187</v>
      </c>
      <c r="D116" s="52" t="s">
        <v>302</v>
      </c>
      <c r="E116" s="53" t="s">
        <v>325</v>
      </c>
      <c r="F116" s="54">
        <v>575</v>
      </c>
      <c r="G116" s="55">
        <v>0</v>
      </c>
      <c r="H116" s="56">
        <f t="shared" si="20"/>
        <v>0</v>
      </c>
      <c r="I116" s="56">
        <v>0</v>
      </c>
      <c r="J116" s="57">
        <f t="shared" si="21"/>
        <v>0</v>
      </c>
      <c r="AE116" s="58">
        <f>G116*0.125698324022346</f>
        <v>0</v>
      </c>
      <c r="AF116" s="58">
        <f>G116*(1-0.125698324022346)</f>
        <v>0</v>
      </c>
    </row>
    <row r="117" spans="1:32" ht="15" customHeight="1" x14ac:dyDescent="0.2">
      <c r="A117" s="96" t="s">
        <v>94</v>
      </c>
      <c r="B117" s="51"/>
      <c r="C117" s="53" t="s">
        <v>188</v>
      </c>
      <c r="D117" s="52" t="s">
        <v>303</v>
      </c>
      <c r="E117" s="53" t="s">
        <v>323</v>
      </c>
      <c r="F117" s="54">
        <v>50</v>
      </c>
      <c r="G117" s="55">
        <v>0</v>
      </c>
      <c r="H117" s="56">
        <f t="shared" si="20"/>
        <v>0</v>
      </c>
      <c r="I117" s="56">
        <v>0</v>
      </c>
      <c r="J117" s="57">
        <f t="shared" si="21"/>
        <v>0</v>
      </c>
      <c r="AE117" s="58">
        <f>G117*0.00640830027464144</f>
        <v>0</v>
      </c>
      <c r="AF117" s="58">
        <f>G117*(1-0.00640830027464144)</f>
        <v>0</v>
      </c>
    </row>
    <row r="118" spans="1:32" ht="15" customHeight="1" x14ac:dyDescent="0.2">
      <c r="A118" s="96" t="s">
        <v>95</v>
      </c>
      <c r="B118" s="51"/>
      <c r="C118" s="53" t="s">
        <v>392</v>
      </c>
      <c r="D118" s="52" t="s">
        <v>393</v>
      </c>
      <c r="E118" s="53" t="s">
        <v>325</v>
      </c>
      <c r="F118" s="54">
        <v>3</v>
      </c>
      <c r="G118" s="55">
        <v>0</v>
      </c>
      <c r="H118" s="56">
        <f>F118*G118</f>
        <v>0</v>
      </c>
      <c r="I118" s="56">
        <v>0.11</v>
      </c>
      <c r="J118" s="57">
        <f t="shared" si="21"/>
        <v>0.33</v>
      </c>
      <c r="AE118" s="58"/>
      <c r="AF118" s="58"/>
    </row>
    <row r="119" spans="1:32" ht="15" customHeight="1" x14ac:dyDescent="0.2">
      <c r="A119" s="96" t="s">
        <v>96</v>
      </c>
      <c r="B119" s="51"/>
      <c r="C119" s="53" t="s">
        <v>189</v>
      </c>
      <c r="D119" s="52" t="s">
        <v>394</v>
      </c>
      <c r="E119" s="53" t="s">
        <v>325</v>
      </c>
      <c r="F119" s="54">
        <v>252</v>
      </c>
      <c r="G119" s="55">
        <v>0</v>
      </c>
      <c r="H119" s="56">
        <f t="shared" si="20"/>
        <v>0</v>
      </c>
      <c r="I119" s="56">
        <v>0.13611999999999999</v>
      </c>
      <c r="J119" s="57">
        <f t="shared" si="21"/>
        <v>34.302239999999998</v>
      </c>
      <c r="AE119" s="58">
        <f>G119*0.679709579962967</f>
        <v>0</v>
      </c>
      <c r="AF119" s="58">
        <f>G119*(1-0.679709579962967)</f>
        <v>0</v>
      </c>
    </row>
    <row r="120" spans="1:32" ht="25.5" x14ac:dyDescent="0.2">
      <c r="A120" s="96" t="s">
        <v>97</v>
      </c>
      <c r="B120" s="51"/>
      <c r="C120" s="53" t="s">
        <v>189</v>
      </c>
      <c r="D120" s="52" t="s">
        <v>304</v>
      </c>
      <c r="E120" s="53" t="s">
        <v>325</v>
      </c>
      <c r="F120" s="54">
        <v>126</v>
      </c>
      <c r="G120" s="55">
        <v>0</v>
      </c>
      <c r="H120" s="56">
        <f t="shared" si="20"/>
        <v>0</v>
      </c>
      <c r="I120" s="56">
        <v>0.13611999999999999</v>
      </c>
      <c r="J120" s="57">
        <f t="shared" si="21"/>
        <v>17.151119999999999</v>
      </c>
      <c r="AE120" s="58">
        <f>G120*0.679709579962967</f>
        <v>0</v>
      </c>
      <c r="AF120" s="58">
        <f>G120*(1-0.679709579962967)</f>
        <v>0</v>
      </c>
    </row>
    <row r="121" spans="1:32" x14ac:dyDescent="0.2">
      <c r="A121" s="96" t="s">
        <v>98</v>
      </c>
      <c r="B121" s="51"/>
      <c r="C121" s="53" t="s">
        <v>395</v>
      </c>
      <c r="D121" s="52" t="s">
        <v>396</v>
      </c>
      <c r="E121" s="53" t="s">
        <v>325</v>
      </c>
      <c r="F121" s="54">
        <v>7.5</v>
      </c>
      <c r="G121" s="55">
        <v>0</v>
      </c>
      <c r="H121" s="56">
        <f>F121*G121</f>
        <v>0</v>
      </c>
      <c r="I121" s="56">
        <v>0</v>
      </c>
      <c r="J121" s="57">
        <f t="shared" si="21"/>
        <v>0</v>
      </c>
      <c r="AE121" s="58"/>
      <c r="AF121" s="58"/>
    </row>
    <row r="122" spans="1:32" ht="15" customHeight="1" x14ac:dyDescent="0.2">
      <c r="A122" s="96" t="s">
        <v>99</v>
      </c>
      <c r="B122" s="51"/>
      <c r="C122" s="53" t="s">
        <v>190</v>
      </c>
      <c r="D122" s="52" t="s">
        <v>305</v>
      </c>
      <c r="E122" s="53" t="s">
        <v>325</v>
      </c>
      <c r="F122" s="54">
        <v>28</v>
      </c>
      <c r="G122" s="55">
        <v>0</v>
      </c>
      <c r="H122" s="56">
        <f t="shared" si="20"/>
        <v>0</v>
      </c>
      <c r="I122" s="56">
        <v>1E-4</v>
      </c>
      <c r="J122" s="57">
        <f t="shared" si="21"/>
        <v>2.8E-3</v>
      </c>
      <c r="AE122" s="58">
        <f>G122*0.0973970858678738</f>
        <v>0</v>
      </c>
      <c r="AF122" s="58">
        <f>G122*(1-0.0973970858678738)</f>
        <v>0</v>
      </c>
    </row>
    <row r="123" spans="1:32" ht="15" customHeight="1" x14ac:dyDescent="0.2">
      <c r="A123" s="96" t="s">
        <v>100</v>
      </c>
      <c r="B123" s="51"/>
      <c r="C123" s="53" t="s">
        <v>191</v>
      </c>
      <c r="D123" s="52" t="s">
        <v>306</v>
      </c>
      <c r="E123" s="53" t="s">
        <v>325</v>
      </c>
      <c r="F123" s="54">
        <v>28</v>
      </c>
      <c r="G123" s="55">
        <v>0</v>
      </c>
      <c r="H123" s="56">
        <f t="shared" si="20"/>
        <v>0</v>
      </c>
      <c r="I123" s="56">
        <v>0</v>
      </c>
      <c r="J123" s="57">
        <f t="shared" si="21"/>
        <v>0</v>
      </c>
      <c r="AE123" s="58">
        <f>G123*0.643579443136168</f>
        <v>0</v>
      </c>
      <c r="AF123" s="58">
        <f>G123*(1-0.643579443136168)</f>
        <v>0</v>
      </c>
    </row>
    <row r="124" spans="1:32" ht="15" customHeight="1" x14ac:dyDescent="0.2">
      <c r="A124" s="97" t="s">
        <v>1</v>
      </c>
      <c r="B124" s="59" t="s">
        <v>1</v>
      </c>
      <c r="C124" s="61"/>
      <c r="D124" s="60" t="s">
        <v>307</v>
      </c>
      <c r="E124" s="61" t="s">
        <v>1</v>
      </c>
      <c r="F124" s="62" t="s">
        <v>1</v>
      </c>
      <c r="G124" s="63" t="s">
        <v>1</v>
      </c>
      <c r="H124" s="64">
        <f>SUM(H125:H148)</f>
        <v>0</v>
      </c>
      <c r="I124" s="63" t="s">
        <v>1</v>
      </c>
      <c r="J124" s="65">
        <f>SUM(J125:J148)</f>
        <v>90.733450000000005</v>
      </c>
    </row>
    <row r="125" spans="1:32" ht="15" customHeight="1" x14ac:dyDescent="0.2">
      <c r="A125" s="99" t="s">
        <v>101</v>
      </c>
      <c r="B125" s="75"/>
      <c r="C125" s="77" t="s">
        <v>192</v>
      </c>
      <c r="D125" s="76" t="s">
        <v>414</v>
      </c>
      <c r="E125" s="77" t="s">
        <v>326</v>
      </c>
      <c r="F125" s="78">
        <v>1.5</v>
      </c>
      <c r="G125" s="79">
        <v>0</v>
      </c>
      <c r="H125" s="80">
        <f t="shared" ref="H125:H148" si="22">AE125*F125+AF125*F125</f>
        <v>0</v>
      </c>
      <c r="I125" s="80">
        <v>1E-3</v>
      </c>
      <c r="J125" s="81">
        <f t="shared" ref="J125:J148" si="23">I125*F125</f>
        <v>1.5E-3</v>
      </c>
      <c r="AE125" s="82">
        <f t="shared" ref="AE125:AE148" si="24">G125*1</f>
        <v>0</v>
      </c>
      <c r="AF125" s="82">
        <f t="shared" ref="AF125:AF148" si="25">G125*(1-1)</f>
        <v>0</v>
      </c>
    </row>
    <row r="126" spans="1:32" ht="15" customHeight="1" x14ac:dyDescent="0.2">
      <c r="A126" s="99" t="s">
        <v>102</v>
      </c>
      <c r="B126" s="75"/>
      <c r="C126" s="77" t="s">
        <v>193</v>
      </c>
      <c r="D126" s="76" t="s">
        <v>308</v>
      </c>
      <c r="E126" s="77" t="s">
        <v>325</v>
      </c>
      <c r="F126" s="78">
        <v>93</v>
      </c>
      <c r="G126" s="79">
        <v>0</v>
      </c>
      <c r="H126" s="80">
        <f t="shared" si="22"/>
        <v>0</v>
      </c>
      <c r="I126" s="80">
        <v>4.8000000000000001E-4</v>
      </c>
      <c r="J126" s="81">
        <f t="shared" si="23"/>
        <v>4.4639999999999999E-2</v>
      </c>
      <c r="AE126" s="82">
        <f t="shared" si="24"/>
        <v>0</v>
      </c>
      <c r="AF126" s="82">
        <f t="shared" si="25"/>
        <v>0</v>
      </c>
    </row>
    <row r="127" spans="1:32" ht="15" customHeight="1" x14ac:dyDescent="0.2">
      <c r="A127" s="99" t="s">
        <v>103</v>
      </c>
      <c r="B127" s="75"/>
      <c r="C127" s="77" t="s">
        <v>194</v>
      </c>
      <c r="D127" s="76" t="s">
        <v>309</v>
      </c>
      <c r="E127" s="77" t="s">
        <v>324</v>
      </c>
      <c r="F127" s="78">
        <v>2</v>
      </c>
      <c r="G127" s="79">
        <v>0</v>
      </c>
      <c r="H127" s="80">
        <f t="shared" si="22"/>
        <v>0</v>
      </c>
      <c r="I127" s="80">
        <v>0</v>
      </c>
      <c r="J127" s="81">
        <f t="shared" si="23"/>
        <v>0</v>
      </c>
      <c r="AE127" s="82">
        <f t="shared" si="24"/>
        <v>0</v>
      </c>
      <c r="AF127" s="82">
        <f t="shared" si="25"/>
        <v>0</v>
      </c>
    </row>
    <row r="128" spans="1:32" ht="15" customHeight="1" x14ac:dyDescent="0.2">
      <c r="A128" s="99" t="s">
        <v>104</v>
      </c>
      <c r="B128" s="75"/>
      <c r="C128" s="77" t="s">
        <v>398</v>
      </c>
      <c r="D128" s="76" t="s">
        <v>399</v>
      </c>
      <c r="E128" s="77" t="s">
        <v>324</v>
      </c>
      <c r="F128" s="78">
        <v>7</v>
      </c>
      <c r="G128" s="79">
        <v>0</v>
      </c>
      <c r="H128" s="80">
        <f>F128*G128</f>
        <v>0</v>
      </c>
      <c r="I128" s="80">
        <v>0.01</v>
      </c>
      <c r="J128" s="81">
        <f t="shared" si="23"/>
        <v>7.0000000000000007E-2</v>
      </c>
      <c r="AE128" s="82"/>
      <c r="AF128" s="82"/>
    </row>
    <row r="129" spans="1:32" ht="24.95" customHeight="1" x14ac:dyDescent="0.2">
      <c r="A129" s="99" t="s">
        <v>105</v>
      </c>
      <c r="B129" s="75"/>
      <c r="C129" s="77" t="s">
        <v>195</v>
      </c>
      <c r="D129" s="76" t="s">
        <v>397</v>
      </c>
      <c r="E129" s="77" t="s">
        <v>324</v>
      </c>
      <c r="F129" s="78">
        <v>1</v>
      </c>
      <c r="G129" s="79">
        <v>0</v>
      </c>
      <c r="H129" s="80">
        <f t="shared" si="22"/>
        <v>0</v>
      </c>
      <c r="I129" s="80">
        <v>1.38E-2</v>
      </c>
      <c r="J129" s="81">
        <f t="shared" si="23"/>
        <v>1.38E-2</v>
      </c>
      <c r="AE129" s="82">
        <f t="shared" si="24"/>
        <v>0</v>
      </c>
      <c r="AF129" s="82">
        <f t="shared" si="25"/>
        <v>0</v>
      </c>
    </row>
    <row r="130" spans="1:32" ht="15" customHeight="1" x14ac:dyDescent="0.2">
      <c r="A130" s="99" t="s">
        <v>106</v>
      </c>
      <c r="B130" s="75"/>
      <c r="C130" s="77" t="s">
        <v>196</v>
      </c>
      <c r="D130" s="76" t="s">
        <v>415</v>
      </c>
      <c r="E130" s="77" t="s">
        <v>324</v>
      </c>
      <c r="F130" s="78">
        <v>15</v>
      </c>
      <c r="G130" s="79">
        <v>0</v>
      </c>
      <c r="H130" s="80">
        <f t="shared" si="22"/>
        <v>0</v>
      </c>
      <c r="I130" s="80">
        <v>2.29E-2</v>
      </c>
      <c r="J130" s="81">
        <f t="shared" si="23"/>
        <v>0.34350000000000003</v>
      </c>
      <c r="AE130" s="82">
        <f t="shared" si="24"/>
        <v>0</v>
      </c>
      <c r="AF130" s="82">
        <f t="shared" si="25"/>
        <v>0</v>
      </c>
    </row>
    <row r="131" spans="1:32" ht="15" customHeight="1" x14ac:dyDescent="0.2">
      <c r="A131" s="99" t="s">
        <v>107</v>
      </c>
      <c r="B131" s="75"/>
      <c r="C131" s="77" t="s">
        <v>197</v>
      </c>
      <c r="D131" s="76" t="s">
        <v>416</v>
      </c>
      <c r="E131" s="77" t="s">
        <v>324</v>
      </c>
      <c r="F131" s="78">
        <v>5</v>
      </c>
      <c r="G131" s="79">
        <v>0</v>
      </c>
      <c r="H131" s="80">
        <f t="shared" si="22"/>
        <v>0</v>
      </c>
      <c r="I131" s="80">
        <v>4.45E-3</v>
      </c>
      <c r="J131" s="81">
        <f t="shared" si="23"/>
        <v>2.2249999999999999E-2</v>
      </c>
      <c r="AE131" s="82">
        <f t="shared" si="24"/>
        <v>0</v>
      </c>
      <c r="AF131" s="82">
        <f t="shared" si="25"/>
        <v>0</v>
      </c>
    </row>
    <row r="132" spans="1:32" ht="15" customHeight="1" x14ac:dyDescent="0.2">
      <c r="A132" s="99" t="s">
        <v>108</v>
      </c>
      <c r="B132" s="75"/>
      <c r="C132" s="77" t="s">
        <v>198</v>
      </c>
      <c r="D132" s="76" t="s">
        <v>310</v>
      </c>
      <c r="E132" s="77" t="s">
        <v>324</v>
      </c>
      <c r="F132" s="78">
        <v>1</v>
      </c>
      <c r="G132" s="79">
        <v>0</v>
      </c>
      <c r="H132" s="80">
        <f t="shared" si="22"/>
        <v>0</v>
      </c>
      <c r="I132" s="80">
        <v>5.1000000000000004E-3</v>
      </c>
      <c r="J132" s="81">
        <f t="shared" si="23"/>
        <v>5.1000000000000004E-3</v>
      </c>
      <c r="AE132" s="82">
        <f t="shared" si="24"/>
        <v>0</v>
      </c>
      <c r="AF132" s="82">
        <f t="shared" si="25"/>
        <v>0</v>
      </c>
    </row>
    <row r="133" spans="1:32" ht="15" customHeight="1" x14ac:dyDescent="0.2">
      <c r="A133" s="99" t="s">
        <v>109</v>
      </c>
      <c r="B133" s="75"/>
      <c r="C133" s="77" t="s">
        <v>199</v>
      </c>
      <c r="D133" s="76" t="s">
        <v>311</v>
      </c>
      <c r="E133" s="77" t="s">
        <v>324</v>
      </c>
      <c r="F133" s="78">
        <v>1</v>
      </c>
      <c r="G133" s="79">
        <v>0</v>
      </c>
      <c r="H133" s="80">
        <f t="shared" si="22"/>
        <v>0</v>
      </c>
      <c r="I133" s="80">
        <v>5.1000000000000004E-3</v>
      </c>
      <c r="J133" s="81">
        <f t="shared" si="23"/>
        <v>5.1000000000000004E-3</v>
      </c>
      <c r="AE133" s="82">
        <f t="shared" si="24"/>
        <v>0</v>
      </c>
      <c r="AF133" s="82">
        <f t="shared" si="25"/>
        <v>0</v>
      </c>
    </row>
    <row r="134" spans="1:32" ht="15" customHeight="1" x14ac:dyDescent="0.2">
      <c r="A134" s="99" t="s">
        <v>110</v>
      </c>
      <c r="B134" s="75"/>
      <c r="C134" s="77" t="s">
        <v>200</v>
      </c>
      <c r="D134" s="76" t="s">
        <v>312</v>
      </c>
      <c r="E134" s="77" t="s">
        <v>324</v>
      </c>
      <c r="F134" s="78">
        <v>1</v>
      </c>
      <c r="G134" s="79">
        <v>0</v>
      </c>
      <c r="H134" s="80">
        <f t="shared" si="22"/>
        <v>0</v>
      </c>
      <c r="I134" s="80">
        <v>5.1000000000000004E-3</v>
      </c>
      <c r="J134" s="81">
        <f t="shared" si="23"/>
        <v>5.1000000000000004E-3</v>
      </c>
      <c r="AE134" s="82">
        <f t="shared" si="24"/>
        <v>0</v>
      </c>
      <c r="AF134" s="82">
        <f t="shared" si="25"/>
        <v>0</v>
      </c>
    </row>
    <row r="135" spans="1:32" ht="24" customHeight="1" x14ac:dyDescent="0.2">
      <c r="A135" s="99" t="s">
        <v>111</v>
      </c>
      <c r="B135" s="75"/>
      <c r="C135" s="77" t="s">
        <v>201</v>
      </c>
      <c r="D135" s="76" t="s">
        <v>313</v>
      </c>
      <c r="E135" s="77" t="s">
        <v>324</v>
      </c>
      <c r="F135" s="78">
        <v>1</v>
      </c>
      <c r="G135" s="79">
        <v>0</v>
      </c>
      <c r="H135" s="80">
        <f t="shared" si="22"/>
        <v>0</v>
      </c>
      <c r="I135" s="80">
        <v>5.1000000000000004E-3</v>
      </c>
      <c r="J135" s="81">
        <f t="shared" si="23"/>
        <v>5.1000000000000004E-3</v>
      </c>
      <c r="AE135" s="82">
        <f t="shared" si="24"/>
        <v>0</v>
      </c>
      <c r="AF135" s="82">
        <f t="shared" si="25"/>
        <v>0</v>
      </c>
    </row>
    <row r="136" spans="1:32" ht="15" customHeight="1" x14ac:dyDescent="0.2">
      <c r="A136" s="99" t="s">
        <v>112</v>
      </c>
      <c r="B136" s="75"/>
      <c r="C136" s="77" t="s">
        <v>202</v>
      </c>
      <c r="D136" s="76" t="s">
        <v>314</v>
      </c>
      <c r="E136" s="77" t="s">
        <v>325</v>
      </c>
      <c r="F136" s="78">
        <v>9</v>
      </c>
      <c r="G136" s="79">
        <v>0</v>
      </c>
      <c r="H136" s="80">
        <f t="shared" si="22"/>
        <v>0</v>
      </c>
      <c r="I136" s="80">
        <v>1.2999999999999999E-3</v>
      </c>
      <c r="J136" s="81">
        <f t="shared" si="23"/>
        <v>1.1699999999999999E-2</v>
      </c>
      <c r="AE136" s="82">
        <f t="shared" si="24"/>
        <v>0</v>
      </c>
      <c r="AF136" s="82">
        <f t="shared" si="25"/>
        <v>0</v>
      </c>
    </row>
    <row r="137" spans="1:32" ht="15" customHeight="1" x14ac:dyDescent="0.2">
      <c r="A137" s="99" t="s">
        <v>113</v>
      </c>
      <c r="B137" s="75"/>
      <c r="C137" s="77" t="s">
        <v>203</v>
      </c>
      <c r="D137" s="76" t="s">
        <v>315</v>
      </c>
      <c r="E137" s="77" t="s">
        <v>324</v>
      </c>
      <c r="F137" s="78">
        <v>3</v>
      </c>
      <c r="G137" s="79">
        <v>0</v>
      </c>
      <c r="H137" s="80">
        <f t="shared" si="22"/>
        <v>0</v>
      </c>
      <c r="I137" s="80">
        <v>1.2600000000000001E-3</v>
      </c>
      <c r="J137" s="81">
        <f t="shared" si="23"/>
        <v>3.7800000000000004E-3</v>
      </c>
      <c r="AE137" s="82">
        <f t="shared" si="24"/>
        <v>0</v>
      </c>
      <c r="AF137" s="82">
        <f t="shared" si="25"/>
        <v>0</v>
      </c>
    </row>
    <row r="138" spans="1:32" ht="15" customHeight="1" x14ac:dyDescent="0.2">
      <c r="A138" s="99" t="s">
        <v>114</v>
      </c>
      <c r="B138" s="75"/>
      <c r="C138" s="77" t="s">
        <v>204</v>
      </c>
      <c r="D138" s="76" t="s">
        <v>316</v>
      </c>
      <c r="E138" s="77" t="s">
        <v>324</v>
      </c>
      <c r="F138" s="78">
        <v>3</v>
      </c>
      <c r="G138" s="79">
        <v>0</v>
      </c>
      <c r="H138" s="80">
        <f t="shared" si="22"/>
        <v>0</v>
      </c>
      <c r="I138" s="80">
        <v>1.2600000000000001E-3</v>
      </c>
      <c r="J138" s="81">
        <f t="shared" si="23"/>
        <v>3.7800000000000004E-3</v>
      </c>
      <c r="AE138" s="82">
        <f t="shared" si="24"/>
        <v>0</v>
      </c>
      <c r="AF138" s="82">
        <f t="shared" si="25"/>
        <v>0</v>
      </c>
    </row>
    <row r="139" spans="1:32" ht="15" customHeight="1" x14ac:dyDescent="0.2">
      <c r="A139" s="99" t="s">
        <v>115</v>
      </c>
      <c r="B139" s="75"/>
      <c r="C139" s="77" t="s">
        <v>205</v>
      </c>
      <c r="D139" s="76" t="s">
        <v>317</v>
      </c>
      <c r="E139" s="77" t="s">
        <v>322</v>
      </c>
      <c r="F139" s="78">
        <v>27</v>
      </c>
      <c r="G139" s="79">
        <v>0</v>
      </c>
      <c r="H139" s="80">
        <f t="shared" si="22"/>
        <v>0</v>
      </c>
      <c r="I139" s="80">
        <v>1.6</v>
      </c>
      <c r="J139" s="81">
        <f t="shared" si="23"/>
        <v>43.2</v>
      </c>
      <c r="AE139" s="82">
        <f t="shared" si="24"/>
        <v>0</v>
      </c>
      <c r="AF139" s="82">
        <f t="shared" si="25"/>
        <v>0</v>
      </c>
    </row>
    <row r="140" spans="1:32" ht="15" customHeight="1" x14ac:dyDescent="0.2">
      <c r="A140" s="99" t="s">
        <v>358</v>
      </c>
      <c r="B140" s="75"/>
      <c r="C140" s="77" t="s">
        <v>206</v>
      </c>
      <c r="D140" s="76" t="s">
        <v>417</v>
      </c>
      <c r="E140" s="77" t="s">
        <v>324</v>
      </c>
      <c r="F140" s="78">
        <v>665.5</v>
      </c>
      <c r="G140" s="79">
        <v>0</v>
      </c>
      <c r="H140" s="80">
        <f t="shared" si="22"/>
        <v>0</v>
      </c>
      <c r="I140" s="80">
        <v>2.3E-2</v>
      </c>
      <c r="J140" s="81">
        <f t="shared" si="23"/>
        <v>15.3065</v>
      </c>
      <c r="AE140" s="82">
        <f t="shared" si="24"/>
        <v>0</v>
      </c>
      <c r="AF140" s="82">
        <f t="shared" si="25"/>
        <v>0</v>
      </c>
    </row>
    <row r="141" spans="1:32" ht="15" customHeight="1" x14ac:dyDescent="0.2">
      <c r="A141" s="99" t="s">
        <v>360</v>
      </c>
      <c r="B141" s="75"/>
      <c r="C141" s="77" t="s">
        <v>207</v>
      </c>
      <c r="D141" s="76" t="s">
        <v>318</v>
      </c>
      <c r="E141" s="77" t="s">
        <v>324</v>
      </c>
      <c r="F141" s="78">
        <v>254.5</v>
      </c>
      <c r="G141" s="79">
        <v>0</v>
      </c>
      <c r="H141" s="80">
        <f t="shared" si="22"/>
        <v>0</v>
      </c>
      <c r="I141" s="80">
        <v>7.6880000000000004E-2</v>
      </c>
      <c r="J141" s="81">
        <f t="shared" si="23"/>
        <v>19.56596</v>
      </c>
      <c r="AE141" s="82">
        <f t="shared" si="24"/>
        <v>0</v>
      </c>
      <c r="AF141" s="82">
        <f t="shared" si="25"/>
        <v>0</v>
      </c>
    </row>
    <row r="142" spans="1:32" ht="15" customHeight="1" x14ac:dyDescent="0.2">
      <c r="A142" s="99" t="s">
        <v>400</v>
      </c>
      <c r="B142" s="75"/>
      <c r="C142" s="77" t="s">
        <v>208</v>
      </c>
      <c r="D142" s="76" t="s">
        <v>418</v>
      </c>
      <c r="E142" s="77" t="s">
        <v>324</v>
      </c>
      <c r="F142" s="78">
        <v>8</v>
      </c>
      <c r="G142" s="79">
        <v>0</v>
      </c>
      <c r="H142" s="80">
        <f t="shared" si="22"/>
        <v>0</v>
      </c>
      <c r="I142" s="80">
        <v>6.08E-2</v>
      </c>
      <c r="J142" s="81">
        <f t="shared" si="23"/>
        <v>0.4864</v>
      </c>
      <c r="AE142" s="82">
        <f t="shared" si="24"/>
        <v>0</v>
      </c>
      <c r="AF142" s="82">
        <f t="shared" si="25"/>
        <v>0</v>
      </c>
    </row>
    <row r="143" spans="1:32" ht="15" customHeight="1" x14ac:dyDescent="0.2">
      <c r="A143" s="99" t="s">
        <v>401</v>
      </c>
      <c r="B143" s="75"/>
      <c r="C143" s="77" t="s">
        <v>404</v>
      </c>
      <c r="D143" s="76" t="s">
        <v>419</v>
      </c>
      <c r="E143" s="77" t="s">
        <v>324</v>
      </c>
      <c r="F143" s="78">
        <v>3</v>
      </c>
      <c r="G143" s="79">
        <v>0</v>
      </c>
      <c r="H143" s="80">
        <f>F143*G143</f>
        <v>0</v>
      </c>
      <c r="I143" s="80">
        <v>1.0608</v>
      </c>
      <c r="J143" s="81">
        <f t="shared" si="23"/>
        <v>3.1823999999999999</v>
      </c>
      <c r="AE143" s="82"/>
      <c r="AF143" s="82"/>
    </row>
    <row r="144" spans="1:32" ht="15" customHeight="1" x14ac:dyDescent="0.2">
      <c r="A144" s="99" t="s">
        <v>402</v>
      </c>
      <c r="B144" s="75"/>
      <c r="C144" s="77" t="s">
        <v>209</v>
      </c>
      <c r="D144" s="76" t="s">
        <v>319</v>
      </c>
      <c r="E144" s="77" t="s">
        <v>324</v>
      </c>
      <c r="F144" s="78">
        <v>127.26</v>
      </c>
      <c r="G144" s="79">
        <v>0</v>
      </c>
      <c r="H144" s="80">
        <f t="shared" si="22"/>
        <v>0</v>
      </c>
      <c r="I144" s="80">
        <v>4.8000000000000001E-2</v>
      </c>
      <c r="J144" s="81">
        <f t="shared" si="23"/>
        <v>6.1084800000000001</v>
      </c>
      <c r="AE144" s="82">
        <f t="shared" si="24"/>
        <v>0</v>
      </c>
      <c r="AF144" s="82">
        <f t="shared" si="25"/>
        <v>0</v>
      </c>
    </row>
    <row r="145" spans="1:32" ht="15" customHeight="1" x14ac:dyDescent="0.2">
      <c r="A145" s="99" t="s">
        <v>403</v>
      </c>
      <c r="B145" s="75"/>
      <c r="C145" s="77" t="s">
        <v>406</v>
      </c>
      <c r="D145" s="76" t="s">
        <v>420</v>
      </c>
      <c r="E145" s="77" t="s">
        <v>323</v>
      </c>
      <c r="F145" s="78">
        <v>3.25</v>
      </c>
      <c r="G145" s="79">
        <v>0</v>
      </c>
      <c r="H145" s="80">
        <f>F145*G145</f>
        <v>0</v>
      </c>
      <c r="I145" s="80">
        <v>0.13</v>
      </c>
      <c r="J145" s="81">
        <f t="shared" ref="J145" si="26">I145*F145</f>
        <v>0.42249999999999999</v>
      </c>
      <c r="AE145" s="82"/>
      <c r="AF145" s="82"/>
    </row>
    <row r="146" spans="1:32" ht="15" customHeight="1" x14ac:dyDescent="0.2">
      <c r="A146" s="99" t="s">
        <v>405</v>
      </c>
      <c r="B146" s="75"/>
      <c r="C146" s="77" t="s">
        <v>210</v>
      </c>
      <c r="D146" s="76" t="s">
        <v>421</v>
      </c>
      <c r="E146" s="77" t="s">
        <v>323</v>
      </c>
      <c r="F146" s="78">
        <v>14</v>
      </c>
      <c r="G146" s="79">
        <v>0</v>
      </c>
      <c r="H146" s="80">
        <f t="shared" si="22"/>
        <v>0</v>
      </c>
      <c r="I146" s="80">
        <v>0.13100000000000001</v>
      </c>
      <c r="J146" s="81">
        <f t="shared" si="23"/>
        <v>1.8340000000000001</v>
      </c>
      <c r="AE146" s="82">
        <f t="shared" si="24"/>
        <v>0</v>
      </c>
      <c r="AF146" s="82">
        <f t="shared" si="25"/>
        <v>0</v>
      </c>
    </row>
    <row r="147" spans="1:32" ht="15" customHeight="1" x14ac:dyDescent="0.2">
      <c r="A147" s="99" t="s">
        <v>407</v>
      </c>
      <c r="B147" s="75"/>
      <c r="C147" s="77" t="s">
        <v>211</v>
      </c>
      <c r="D147" s="76" t="s">
        <v>422</v>
      </c>
      <c r="E147" s="77" t="s">
        <v>323</v>
      </c>
      <c r="F147" s="78">
        <v>198</v>
      </c>
      <c r="G147" s="79">
        <v>0</v>
      </c>
      <c r="H147" s="80">
        <f t="shared" si="22"/>
        <v>0</v>
      </c>
      <c r="I147" s="80">
        <v>1.7000000000000001E-4</v>
      </c>
      <c r="J147" s="81">
        <f t="shared" si="23"/>
        <v>3.3660000000000002E-2</v>
      </c>
      <c r="AE147" s="82">
        <f t="shared" si="24"/>
        <v>0</v>
      </c>
      <c r="AF147" s="82">
        <f t="shared" si="25"/>
        <v>0</v>
      </c>
    </row>
    <row r="148" spans="1:32" ht="15" customHeight="1" thickBot="1" x14ac:dyDescent="0.25">
      <c r="A148" s="99" t="s">
        <v>408</v>
      </c>
      <c r="B148" s="83"/>
      <c r="C148" s="85" t="s">
        <v>212</v>
      </c>
      <c r="D148" s="84" t="s">
        <v>423</v>
      </c>
      <c r="E148" s="85" t="s">
        <v>323</v>
      </c>
      <c r="F148" s="86">
        <v>194</v>
      </c>
      <c r="G148" s="87">
        <v>0</v>
      </c>
      <c r="H148" s="88">
        <f t="shared" si="22"/>
        <v>0</v>
      </c>
      <c r="I148" s="88">
        <v>2.9999999999999997E-4</v>
      </c>
      <c r="J148" s="89">
        <f t="shared" si="23"/>
        <v>5.8199999999999995E-2</v>
      </c>
      <c r="AE148" s="82">
        <f t="shared" si="24"/>
        <v>0</v>
      </c>
      <c r="AF148" s="82">
        <f t="shared" si="25"/>
        <v>0</v>
      </c>
    </row>
    <row r="149" spans="1:32" ht="13.5" thickBot="1" x14ac:dyDescent="0.25"/>
    <row r="150" spans="1:32" ht="13.5" thickBot="1" x14ac:dyDescent="0.25">
      <c r="G150" s="91" t="s">
        <v>329</v>
      </c>
      <c r="H150" s="92">
        <f>H17+H2+H6+H23+H34+H38+H45+H57+H64+H69+H73+H76+H78+H82+H87+H93+H98+H100+H106+H111+H124</f>
        <v>0</v>
      </c>
    </row>
    <row r="154" spans="1:32" ht="38.25" x14ac:dyDescent="0.2">
      <c r="D154" s="93" t="s">
        <v>426</v>
      </c>
    </row>
    <row r="159" spans="1:32" x14ac:dyDescent="0.2">
      <c r="D159" s="42"/>
    </row>
    <row r="160" spans="1:32" x14ac:dyDescent="0.2">
      <c r="D160" s="42"/>
    </row>
    <row r="165" spans="4:4" x14ac:dyDescent="0.2">
      <c r="D165" s="94"/>
    </row>
  </sheetData>
  <sheetProtection selectLockedCells="1"/>
  <customSheetViews>
    <customSheetView guid="{8991699C-F1B1-4BFC-A8D2-353810A37066}" hiddenColumns="1">
      <selection activeCell="J25" sqref="J25"/>
      <pageMargins left="0.78740157499999996" right="0.78740157499999996" top="0.984251969" bottom="0.984251969" header="0.4921259845" footer="0.4921259845"/>
    </customSheetView>
    <customSheetView guid="{69E2D659-72AB-4DA2-BC2C-605F3861FA21}" hiddenColumns="1">
      <selection activeCell="D13" sqref="D13"/>
      <pageMargins left="0.78740157499999996" right="0.78740157499999996" top="0.984251969" bottom="0.984251969" header="0.4921259845" footer="0.4921259845"/>
    </customSheetView>
  </customSheetViews>
  <pageMargins left="0.39370078740157483" right="0.39370078740157483" top="0.39370078740157483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21" sqref="C21"/>
    </sheetView>
  </sheetViews>
  <sheetFormatPr defaultRowHeight="12.75" x14ac:dyDescent="0.2"/>
  <cols>
    <col min="1" max="1" width="23.42578125" customWidth="1"/>
    <col min="2" max="2" width="45.85546875" customWidth="1"/>
    <col min="3" max="3" width="19.28515625" customWidth="1"/>
    <col min="5" max="5" width="11.7109375" bestFit="1" customWidth="1"/>
    <col min="7" max="7" width="10.140625" bestFit="1" customWidth="1"/>
  </cols>
  <sheetData>
    <row r="1" spans="1:7" ht="36.75" customHeight="1" x14ac:dyDescent="0.2">
      <c r="A1" s="12"/>
      <c r="B1" s="13" t="s">
        <v>361</v>
      </c>
      <c r="C1" s="14"/>
    </row>
    <row r="2" spans="1:7" ht="19.5" customHeight="1" x14ac:dyDescent="0.2">
      <c r="A2" s="33" t="s">
        <v>362</v>
      </c>
      <c r="B2" s="34" t="s">
        <v>363</v>
      </c>
      <c r="C2" s="35"/>
    </row>
    <row r="3" spans="1:7" ht="15.75" x14ac:dyDescent="0.2">
      <c r="A3" s="36"/>
      <c r="B3" s="7"/>
      <c r="C3" s="37"/>
    </row>
    <row r="4" spans="1:7" ht="15" customHeight="1" x14ac:dyDescent="0.2">
      <c r="A4" s="38" t="s">
        <v>364</v>
      </c>
      <c r="B4" s="9" t="s">
        <v>382</v>
      </c>
      <c r="C4" s="39"/>
    </row>
    <row r="5" spans="1:7" ht="15" x14ac:dyDescent="0.2">
      <c r="A5" s="36"/>
      <c r="B5" s="7"/>
      <c r="C5" s="8"/>
    </row>
    <row r="6" spans="1:7" ht="18" customHeight="1" x14ac:dyDescent="0.2">
      <c r="A6" s="6" t="s">
        <v>365</v>
      </c>
      <c r="B6" s="9" t="s">
        <v>380</v>
      </c>
      <c r="C6" s="39"/>
    </row>
    <row r="7" spans="1:7" ht="15" x14ac:dyDescent="0.2">
      <c r="A7" s="16"/>
      <c r="B7" s="7" t="s">
        <v>381</v>
      </c>
      <c r="C7" s="15"/>
    </row>
    <row r="8" spans="1:7" x14ac:dyDescent="0.2">
      <c r="A8" s="17"/>
      <c r="B8" s="1"/>
      <c r="C8" s="18"/>
    </row>
    <row r="9" spans="1:7" ht="33" customHeight="1" x14ac:dyDescent="0.2">
      <c r="A9" s="19"/>
      <c r="B9" s="2" t="s">
        <v>366</v>
      </c>
      <c r="C9" s="20"/>
    </row>
    <row r="10" spans="1:7" ht="24.95" customHeight="1" x14ac:dyDescent="0.2">
      <c r="A10" s="21" t="s">
        <v>379</v>
      </c>
      <c r="B10" s="10"/>
      <c r="C10" s="22"/>
    </row>
    <row r="11" spans="1:7" ht="24.95" customHeight="1" x14ac:dyDescent="0.2">
      <c r="A11" s="23" t="s">
        <v>367</v>
      </c>
      <c r="B11" s="3"/>
      <c r="C11" s="24">
        <f>'Rozpočet - vybrané sloupce'!H2+'Rozpočet - vybrané sloupce'!H6+'Rozpočet - vybrané sloupce'!H23+'Rozpočet - vybrané sloupce'!H34+'Rozpočet - vybrané sloupce'!H38+'Rozpočet - vybrané sloupce'!H45+'Rozpočet - vybrané sloupce'!H57+'Rozpočet - vybrané sloupce'!H64+'Rozpočet - vybrané sloupce'!H69+'Rozpočet - vybrané sloupce'!H76+'Rozpočet - vybrané sloupce'!H78+'Rozpočet - vybrané sloupce'!H82+'Rozpočet - vybrané sloupce'!H87+'Rozpočet - vybrané sloupce'!H93+'Rozpočet - vybrané sloupce'!H98+'Rozpočet - vybrané sloupce'!H100+'Rozpočet - vybrané sloupce'!H106+'Rozpočet - vybrané sloupce'!H111</f>
        <v>0</v>
      </c>
      <c r="E11" s="40"/>
      <c r="F11" s="40"/>
    </row>
    <row r="12" spans="1:7" ht="24.95" customHeight="1" x14ac:dyDescent="0.2">
      <c r="A12" s="23" t="s">
        <v>368</v>
      </c>
      <c r="B12" s="3"/>
      <c r="C12" s="24">
        <v>0</v>
      </c>
    </row>
    <row r="13" spans="1:7" ht="24.95" customHeight="1" x14ac:dyDescent="0.2">
      <c r="A13" s="23" t="s">
        <v>369</v>
      </c>
      <c r="B13" s="3"/>
      <c r="C13" s="24">
        <v>0</v>
      </c>
    </row>
    <row r="14" spans="1:7" ht="24.95" customHeight="1" x14ac:dyDescent="0.2">
      <c r="A14" s="25" t="s">
        <v>307</v>
      </c>
      <c r="B14" s="11"/>
      <c r="C14" s="24">
        <f>'Rozpočet - vybrané sloupce'!H124</f>
        <v>0</v>
      </c>
      <c r="E14" s="40"/>
    </row>
    <row r="15" spans="1:7" ht="24.95" customHeight="1" x14ac:dyDescent="0.2">
      <c r="A15" s="25" t="s">
        <v>370</v>
      </c>
      <c r="B15" s="11"/>
      <c r="C15" s="24">
        <f>('Rozpočet - vybrané sloupce'!H17)+('Rozpočet - vybrané sloupce'!H73)</f>
        <v>0</v>
      </c>
      <c r="E15" s="40"/>
      <c r="G15" s="40"/>
    </row>
    <row r="16" spans="1:7" ht="24.95" customHeight="1" x14ac:dyDescent="0.2">
      <c r="A16" s="25" t="s">
        <v>371</v>
      </c>
      <c r="B16" s="11"/>
      <c r="C16" s="24">
        <f>C11+C12+C13+C14+C15</f>
        <v>0</v>
      </c>
    </row>
    <row r="17" spans="1:3" ht="24.95" customHeight="1" x14ac:dyDescent="0.2">
      <c r="A17" s="26"/>
      <c r="B17" s="4"/>
      <c r="C17" s="27"/>
    </row>
    <row r="18" spans="1:3" ht="24.95" customHeight="1" x14ac:dyDescent="0.2">
      <c r="A18" s="28" t="s">
        <v>372</v>
      </c>
      <c r="B18" s="5"/>
      <c r="C18" s="29">
        <v>0</v>
      </c>
    </row>
    <row r="19" spans="1:3" ht="24.95" customHeight="1" x14ac:dyDescent="0.2">
      <c r="A19" s="28" t="s">
        <v>373</v>
      </c>
      <c r="B19" s="5"/>
      <c r="C19" s="29">
        <v>0</v>
      </c>
    </row>
    <row r="20" spans="1:3" ht="24.95" customHeight="1" x14ac:dyDescent="0.2">
      <c r="A20" s="28" t="s">
        <v>376</v>
      </c>
      <c r="B20" s="5"/>
      <c r="C20" s="29">
        <f>C16</f>
        <v>0</v>
      </c>
    </row>
    <row r="21" spans="1:3" ht="24.95" customHeight="1" x14ac:dyDescent="0.2">
      <c r="A21" s="28" t="s">
        <v>374</v>
      </c>
      <c r="B21" s="5"/>
      <c r="C21" s="29">
        <f>ROUND(C19*(15/100),2)</f>
        <v>0</v>
      </c>
    </row>
    <row r="22" spans="1:3" s="10" customFormat="1" ht="24.95" customHeight="1" x14ac:dyDescent="0.2">
      <c r="A22" s="28" t="s">
        <v>377</v>
      </c>
      <c r="B22" s="5"/>
      <c r="C22" s="29">
        <f>ROUND(C20*(21/100),2)</f>
        <v>0</v>
      </c>
    </row>
    <row r="23" spans="1:3" s="10" customFormat="1" ht="24.95" customHeight="1" x14ac:dyDescent="0.2">
      <c r="A23" s="28" t="s">
        <v>375</v>
      </c>
      <c r="B23" s="5"/>
      <c r="C23" s="29">
        <f>SUM(C18:C20)</f>
        <v>0</v>
      </c>
    </row>
    <row r="24" spans="1:3" s="10" customFormat="1" ht="24.95" customHeight="1" thickBot="1" x14ac:dyDescent="0.25">
      <c r="A24" s="30" t="s">
        <v>378</v>
      </c>
      <c r="B24" s="31"/>
      <c r="C24" s="32">
        <f>ROUND(SUM(C21:C22)+C23,2)</f>
        <v>0</v>
      </c>
    </row>
    <row r="25" spans="1:3" s="10" customFormat="1" ht="15" x14ac:dyDescent="0.2">
      <c r="A25" s="9"/>
      <c r="B25" s="7"/>
      <c r="C25" s="7"/>
    </row>
    <row r="26" spans="1:3" s="10" customFormat="1" ht="15" x14ac:dyDescent="0.2">
      <c r="A26" s="9"/>
      <c r="B26" s="7"/>
      <c r="C26" s="7"/>
    </row>
  </sheetData>
  <customSheetViews>
    <customSheetView guid="{8991699C-F1B1-4BFC-A8D2-353810A37066}">
      <selection activeCell="C11" sqref="C11"/>
      <pageMargins left="0.7" right="0.7" top="0.78740157499999996" bottom="0.78740157499999996" header="0.3" footer="0.3"/>
    </customSheetView>
    <customSheetView guid="{69E2D659-72AB-4DA2-BC2C-605F3861FA21}" showPageBreaks="1" topLeftCell="A7">
      <selection activeCell="G20" sqref="G20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- vybrané sloupce</vt:lpstr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Jiří Zevl</cp:lastModifiedBy>
  <cp:lastPrinted>2017-07-25T13:56:16Z</cp:lastPrinted>
  <dcterms:created xsi:type="dcterms:W3CDTF">2017-05-04T19:34:20Z</dcterms:created>
  <dcterms:modified xsi:type="dcterms:W3CDTF">2017-07-25T13:58:55Z</dcterms:modified>
</cp:coreProperties>
</file>