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vestice\PROJEKTY EU\Zivotni prostredi\OLÚ_Jevíčko_revitalizace_parkového_areálu\04_Soutěž stavba_(VZMR, ZPŘ...)\3_Zadávací dokumentace\ZD\"/>
    </mc:Choice>
  </mc:AlternateContent>
  <bookViews>
    <workbookView xWindow="210" yWindow="525" windowWidth="23670" windowHeight="946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62913"/>
</workbook>
</file>

<file path=xl/calcChain.xml><?xml version="1.0" encoding="utf-8"?>
<calcChain xmlns="http://schemas.openxmlformats.org/spreadsheetml/2006/main">
  <c r="BJ214" i="3" l="1"/>
  <c r="BF214" i="3"/>
  <c r="BD214" i="3"/>
  <c r="AP214" i="3"/>
  <c r="AX214" i="3" s="1"/>
  <c r="AO214" i="3"/>
  <c r="BH214" i="3" s="1"/>
  <c r="AB214" i="3" s="1"/>
  <c r="AK214" i="3"/>
  <c r="AT213" i="3" s="1"/>
  <c r="AJ214" i="3"/>
  <c r="AH214" i="3"/>
  <c r="AG214" i="3"/>
  <c r="AF214" i="3"/>
  <c r="AE214" i="3"/>
  <c r="AD214" i="3"/>
  <c r="Z214" i="3"/>
  <c r="J214" i="3"/>
  <c r="AL214" i="3" s="1"/>
  <c r="AU213" i="3" s="1"/>
  <c r="H214" i="3"/>
  <c r="H213" i="3" s="1"/>
  <c r="H212" i="3" s="1"/>
  <c r="AS213" i="3"/>
  <c r="J213" i="3"/>
  <c r="J212" i="3" s="1"/>
  <c r="BJ211" i="3"/>
  <c r="BF211" i="3"/>
  <c r="BD211" i="3"/>
  <c r="AP211" i="3"/>
  <c r="BI211" i="3" s="1"/>
  <c r="AO211" i="3"/>
  <c r="H211" i="3" s="1"/>
  <c r="AK211" i="3"/>
  <c r="AJ211" i="3"/>
  <c r="AH211" i="3"/>
  <c r="AG211" i="3"/>
  <c r="AF211" i="3"/>
  <c r="AE211" i="3"/>
  <c r="AD211" i="3"/>
  <c r="AC211" i="3"/>
  <c r="AB211" i="3"/>
  <c r="Z211" i="3"/>
  <c r="J211" i="3"/>
  <c r="AL211" i="3" s="1"/>
  <c r="BJ209" i="3"/>
  <c r="BF209" i="3"/>
  <c r="BD209" i="3"/>
  <c r="AP209" i="3"/>
  <c r="I209" i="3" s="1"/>
  <c r="AO209" i="3"/>
  <c r="BH209" i="3" s="1"/>
  <c r="AK209" i="3"/>
  <c r="AJ209" i="3"/>
  <c r="AS207" i="3" s="1"/>
  <c r="AH209" i="3"/>
  <c r="AG209" i="3"/>
  <c r="AF209" i="3"/>
  <c r="AE209" i="3"/>
  <c r="AD209" i="3"/>
  <c r="AC209" i="3"/>
  <c r="AB209" i="3"/>
  <c r="Z209" i="3"/>
  <c r="J209" i="3"/>
  <c r="AL209" i="3" s="1"/>
  <c r="H209" i="3"/>
  <c r="BJ208" i="3"/>
  <c r="AH208" i="3" s="1"/>
  <c r="BF208" i="3"/>
  <c r="BD208" i="3"/>
  <c r="AX208" i="3"/>
  <c r="AP208" i="3"/>
  <c r="BI208" i="3" s="1"/>
  <c r="AO208" i="3"/>
  <c r="BH208" i="3" s="1"/>
  <c r="AK208" i="3"/>
  <c r="AJ208" i="3"/>
  <c r="AG208" i="3"/>
  <c r="AF208" i="3"/>
  <c r="AE208" i="3"/>
  <c r="AD208" i="3"/>
  <c r="AC208" i="3"/>
  <c r="AB208" i="3"/>
  <c r="Z208" i="3"/>
  <c r="J208" i="3"/>
  <c r="AL208" i="3" s="1"/>
  <c r="I208" i="3"/>
  <c r="H208" i="3"/>
  <c r="H207" i="3" s="1"/>
  <c r="BJ206" i="3"/>
  <c r="Z206" i="3" s="1"/>
  <c r="BF206" i="3"/>
  <c r="BD206" i="3"/>
  <c r="AP206" i="3"/>
  <c r="I206" i="3" s="1"/>
  <c r="I205" i="3" s="1"/>
  <c r="AO206" i="3"/>
  <c r="BH206" i="3" s="1"/>
  <c r="AL206" i="3"/>
  <c r="AK206" i="3"/>
  <c r="AJ206" i="3"/>
  <c r="AS205" i="3" s="1"/>
  <c r="AH206" i="3"/>
  <c r="AG206" i="3"/>
  <c r="AF206" i="3"/>
  <c r="AE206" i="3"/>
  <c r="AD206" i="3"/>
  <c r="AC206" i="3"/>
  <c r="AB206" i="3"/>
  <c r="J206" i="3"/>
  <c r="J205" i="3" s="1"/>
  <c r="H206" i="3"/>
  <c r="H205" i="3" s="1"/>
  <c r="AU205" i="3"/>
  <c r="AT205" i="3"/>
  <c r="BJ204" i="3"/>
  <c r="BF204" i="3"/>
  <c r="BD204" i="3"/>
  <c r="AX204" i="3"/>
  <c r="AP204" i="3"/>
  <c r="BI204" i="3" s="1"/>
  <c r="AC204" i="3" s="1"/>
  <c r="AO204" i="3"/>
  <c r="H204" i="3" s="1"/>
  <c r="AK204" i="3"/>
  <c r="AJ204" i="3"/>
  <c r="AH204" i="3"/>
  <c r="AG204" i="3"/>
  <c r="AF204" i="3"/>
  <c r="AE204" i="3"/>
  <c r="AD204" i="3"/>
  <c r="Z204" i="3"/>
  <c r="J204" i="3"/>
  <c r="AL204" i="3" s="1"/>
  <c r="I204" i="3"/>
  <c r="BJ203" i="3"/>
  <c r="BF203" i="3"/>
  <c r="BD203" i="3"/>
  <c r="AP203" i="3"/>
  <c r="I203" i="3" s="1"/>
  <c r="AO203" i="3"/>
  <c r="BH203" i="3" s="1"/>
  <c r="AB203" i="3" s="1"/>
  <c r="AK203" i="3"/>
  <c r="AJ203" i="3"/>
  <c r="AH203" i="3"/>
  <c r="AG203" i="3"/>
  <c r="AF203" i="3"/>
  <c r="AE203" i="3"/>
  <c r="AD203" i="3"/>
  <c r="Z203" i="3"/>
  <c r="J203" i="3"/>
  <c r="AL203" i="3" s="1"/>
  <c r="BJ202" i="3"/>
  <c r="BF202" i="3"/>
  <c r="BD202" i="3"/>
  <c r="AP202" i="3"/>
  <c r="BI202" i="3" s="1"/>
  <c r="AC202" i="3" s="1"/>
  <c r="AO202" i="3"/>
  <c r="BH202" i="3" s="1"/>
  <c r="AB202" i="3" s="1"/>
  <c r="AK202" i="3"/>
  <c r="AT201" i="3" s="1"/>
  <c r="AJ202" i="3"/>
  <c r="AH202" i="3"/>
  <c r="AG202" i="3"/>
  <c r="AF202" i="3"/>
  <c r="AE202" i="3"/>
  <c r="AD202" i="3"/>
  <c r="Z202" i="3"/>
  <c r="J202" i="3"/>
  <c r="AL202" i="3" s="1"/>
  <c r="H202" i="3"/>
  <c r="BJ198" i="3"/>
  <c r="BF198" i="3"/>
  <c r="BD198" i="3"/>
  <c r="AP198" i="3"/>
  <c r="BI198" i="3" s="1"/>
  <c r="AO198" i="3"/>
  <c r="H198" i="3" s="1"/>
  <c r="AK198" i="3"/>
  <c r="AJ198" i="3"/>
  <c r="AH198" i="3"/>
  <c r="AG198" i="3"/>
  <c r="AF198" i="3"/>
  <c r="AE198" i="3"/>
  <c r="AD198" i="3"/>
  <c r="AC198" i="3"/>
  <c r="AB198" i="3"/>
  <c r="Z198" i="3"/>
  <c r="J198" i="3"/>
  <c r="AL198" i="3" s="1"/>
  <c r="I198" i="3"/>
  <c r="BJ197" i="3"/>
  <c r="AH197" i="3" s="1"/>
  <c r="BF197" i="3"/>
  <c r="BD197" i="3"/>
  <c r="AP197" i="3"/>
  <c r="I197" i="3" s="1"/>
  <c r="AO197" i="3"/>
  <c r="BH197" i="3" s="1"/>
  <c r="AK197" i="3"/>
  <c r="AJ197" i="3"/>
  <c r="AG197" i="3"/>
  <c r="AF197" i="3"/>
  <c r="AE197" i="3"/>
  <c r="AD197" i="3"/>
  <c r="AC197" i="3"/>
  <c r="AB197" i="3"/>
  <c r="Z197" i="3"/>
  <c r="J197" i="3"/>
  <c r="AL197" i="3" s="1"/>
  <c r="H197" i="3"/>
  <c r="BJ196" i="3"/>
  <c r="AH196" i="3" s="1"/>
  <c r="BF196" i="3"/>
  <c r="BD196" i="3"/>
  <c r="AP196" i="3"/>
  <c r="BI196" i="3" s="1"/>
  <c r="AO196" i="3"/>
  <c r="BH196" i="3" s="1"/>
  <c r="AK196" i="3"/>
  <c r="AJ196" i="3"/>
  <c r="AG196" i="3"/>
  <c r="AF196" i="3"/>
  <c r="AE196" i="3"/>
  <c r="AD196" i="3"/>
  <c r="AC196" i="3"/>
  <c r="AB196" i="3"/>
  <c r="Z196" i="3"/>
  <c r="J196" i="3"/>
  <c r="AL196" i="3" s="1"/>
  <c r="H196" i="3"/>
  <c r="BJ195" i="3"/>
  <c r="BF195" i="3"/>
  <c r="BD195" i="3"/>
  <c r="AW195" i="3"/>
  <c r="AP195" i="3"/>
  <c r="BI195" i="3" s="1"/>
  <c r="AO195" i="3"/>
  <c r="BH195" i="3" s="1"/>
  <c r="AK195" i="3"/>
  <c r="AJ195" i="3"/>
  <c r="AH195" i="3"/>
  <c r="AG195" i="3"/>
  <c r="AF195" i="3"/>
  <c r="AE195" i="3"/>
  <c r="AD195" i="3"/>
  <c r="AC195" i="3"/>
  <c r="AB195" i="3"/>
  <c r="Z195" i="3"/>
  <c r="J195" i="3"/>
  <c r="AL195" i="3" s="1"/>
  <c r="I195" i="3"/>
  <c r="BJ194" i="3"/>
  <c r="AH194" i="3" s="1"/>
  <c r="BF194" i="3"/>
  <c r="BD194" i="3"/>
  <c r="AX194" i="3"/>
  <c r="AP194" i="3"/>
  <c r="BI194" i="3" s="1"/>
  <c r="AO194" i="3"/>
  <c r="H194" i="3" s="1"/>
  <c r="AK194" i="3"/>
  <c r="AJ194" i="3"/>
  <c r="AG194" i="3"/>
  <c r="AF194" i="3"/>
  <c r="AE194" i="3"/>
  <c r="AD194" i="3"/>
  <c r="AC194" i="3"/>
  <c r="AB194" i="3"/>
  <c r="Z194" i="3"/>
  <c r="J194" i="3"/>
  <c r="AL194" i="3" s="1"/>
  <c r="I194" i="3"/>
  <c r="BJ193" i="3"/>
  <c r="BF193" i="3"/>
  <c r="BD193" i="3"/>
  <c r="AW193" i="3"/>
  <c r="AP193" i="3"/>
  <c r="I193" i="3" s="1"/>
  <c r="AO193" i="3"/>
  <c r="BH193" i="3" s="1"/>
  <c r="AL193" i="3"/>
  <c r="AK193" i="3"/>
  <c r="AJ193" i="3"/>
  <c r="AS191" i="3" s="1"/>
  <c r="AH193" i="3"/>
  <c r="AG193" i="3"/>
  <c r="AF193" i="3"/>
  <c r="AE193" i="3"/>
  <c r="AD193" i="3"/>
  <c r="AC193" i="3"/>
  <c r="AB193" i="3"/>
  <c r="Z193" i="3"/>
  <c r="J193" i="3"/>
  <c r="H193" i="3"/>
  <c r="BJ192" i="3"/>
  <c r="AH192" i="3" s="1"/>
  <c r="BF192" i="3"/>
  <c r="BD192" i="3"/>
  <c r="AP192" i="3"/>
  <c r="BI192" i="3" s="1"/>
  <c r="AO192" i="3"/>
  <c r="BH192" i="3" s="1"/>
  <c r="AK192" i="3"/>
  <c r="AJ192" i="3"/>
  <c r="AG192" i="3"/>
  <c r="AF192" i="3"/>
  <c r="AE192" i="3"/>
  <c r="AD192" i="3"/>
  <c r="AC192" i="3"/>
  <c r="AB192" i="3"/>
  <c r="Z192" i="3"/>
  <c r="J192" i="3"/>
  <c r="AL192" i="3" s="1"/>
  <c r="I192" i="3"/>
  <c r="H192" i="3"/>
  <c r="BJ190" i="3"/>
  <c r="BF190" i="3"/>
  <c r="BD190" i="3"/>
  <c r="AP190" i="3"/>
  <c r="I190" i="3" s="1"/>
  <c r="I189" i="3" s="1"/>
  <c r="AO190" i="3"/>
  <c r="BH190" i="3" s="1"/>
  <c r="AL190" i="3"/>
  <c r="AK190" i="3"/>
  <c r="AT189" i="3" s="1"/>
  <c r="AJ190" i="3"/>
  <c r="AS189" i="3" s="1"/>
  <c r="AH190" i="3"/>
  <c r="AG190" i="3"/>
  <c r="AF190" i="3"/>
  <c r="AE190" i="3"/>
  <c r="AD190" i="3"/>
  <c r="AC190" i="3"/>
  <c r="AB190" i="3"/>
  <c r="Z190" i="3"/>
  <c r="J190" i="3"/>
  <c r="J189" i="3" s="1"/>
  <c r="H190" i="3"/>
  <c r="H189" i="3" s="1"/>
  <c r="AU189" i="3"/>
  <c r="BJ187" i="3"/>
  <c r="BF187" i="3"/>
  <c r="BD187" i="3"/>
  <c r="AX187" i="3"/>
  <c r="AP187" i="3"/>
  <c r="BI187" i="3" s="1"/>
  <c r="AC187" i="3" s="1"/>
  <c r="AO187" i="3"/>
  <c r="H187" i="3" s="1"/>
  <c r="H186" i="3" s="1"/>
  <c r="AK187" i="3"/>
  <c r="AT186" i="3" s="1"/>
  <c r="AJ187" i="3"/>
  <c r="AS186" i="3" s="1"/>
  <c r="AH187" i="3"/>
  <c r="AG187" i="3"/>
  <c r="AF187" i="3"/>
  <c r="AE187" i="3"/>
  <c r="AD187" i="3"/>
  <c r="Z187" i="3"/>
  <c r="J187" i="3"/>
  <c r="J186" i="3" s="1"/>
  <c r="I187" i="3"/>
  <c r="I186" i="3" s="1"/>
  <c r="BJ185" i="3"/>
  <c r="BF185" i="3"/>
  <c r="BD185" i="3"/>
  <c r="AW185" i="3"/>
  <c r="AP185" i="3"/>
  <c r="BI185" i="3" s="1"/>
  <c r="AC185" i="3" s="1"/>
  <c r="AO185" i="3"/>
  <c r="BH185" i="3" s="1"/>
  <c r="AB185" i="3" s="1"/>
  <c r="AL185" i="3"/>
  <c r="AK185" i="3"/>
  <c r="AJ185" i="3"/>
  <c r="AH185" i="3"/>
  <c r="AG185" i="3"/>
  <c r="AF185" i="3"/>
  <c r="AE185" i="3"/>
  <c r="AD185" i="3"/>
  <c r="Z185" i="3"/>
  <c r="J185" i="3"/>
  <c r="I185" i="3"/>
  <c r="H185" i="3"/>
  <c r="BJ184" i="3"/>
  <c r="BF184" i="3"/>
  <c r="BD184" i="3"/>
  <c r="AX184" i="3"/>
  <c r="AP184" i="3"/>
  <c r="BI184" i="3" s="1"/>
  <c r="AC184" i="3" s="1"/>
  <c r="AO184" i="3"/>
  <c r="H184" i="3" s="1"/>
  <c r="AK184" i="3"/>
  <c r="AJ184" i="3"/>
  <c r="AH184" i="3"/>
  <c r="AG184" i="3"/>
  <c r="AF184" i="3"/>
  <c r="AE184" i="3"/>
  <c r="AD184" i="3"/>
  <c r="Z184" i="3"/>
  <c r="J184" i="3"/>
  <c r="AL184" i="3" s="1"/>
  <c r="I184" i="3"/>
  <c r="BJ183" i="3"/>
  <c r="BF183" i="3"/>
  <c r="BD183" i="3"/>
  <c r="AW183" i="3"/>
  <c r="AP183" i="3"/>
  <c r="I183" i="3" s="1"/>
  <c r="AO183" i="3"/>
  <c r="BH183" i="3" s="1"/>
  <c r="AB183" i="3" s="1"/>
  <c r="AK183" i="3"/>
  <c r="AJ183" i="3"/>
  <c r="AH183" i="3"/>
  <c r="AG183" i="3"/>
  <c r="AF183" i="3"/>
  <c r="AE183" i="3"/>
  <c r="AD183" i="3"/>
  <c r="Z183" i="3"/>
  <c r="J183" i="3"/>
  <c r="AL183" i="3" s="1"/>
  <c r="H183" i="3"/>
  <c r="BJ182" i="3"/>
  <c r="BF182" i="3"/>
  <c r="BD182" i="3"/>
  <c r="AX182" i="3"/>
  <c r="AP182" i="3"/>
  <c r="BI182" i="3" s="1"/>
  <c r="AC182" i="3" s="1"/>
  <c r="AO182" i="3"/>
  <c r="BH182" i="3" s="1"/>
  <c r="AB182" i="3" s="1"/>
  <c r="AK182" i="3"/>
  <c r="AJ182" i="3"/>
  <c r="AH182" i="3"/>
  <c r="AG182" i="3"/>
  <c r="AF182" i="3"/>
  <c r="AE182" i="3"/>
  <c r="AD182" i="3"/>
  <c r="Z182" i="3"/>
  <c r="J182" i="3"/>
  <c r="AL182" i="3" s="1"/>
  <c r="I182" i="3"/>
  <c r="H182" i="3"/>
  <c r="BJ181" i="3"/>
  <c r="BF181" i="3"/>
  <c r="BD181" i="3"/>
  <c r="AP181" i="3"/>
  <c r="BI181" i="3" s="1"/>
  <c r="AC181" i="3" s="1"/>
  <c r="AO181" i="3"/>
  <c r="BH181" i="3" s="1"/>
  <c r="AB181" i="3" s="1"/>
  <c r="AL181" i="3"/>
  <c r="AK181" i="3"/>
  <c r="AJ181" i="3"/>
  <c r="AH181" i="3"/>
  <c r="AG181" i="3"/>
  <c r="AF181" i="3"/>
  <c r="AE181" i="3"/>
  <c r="AD181" i="3"/>
  <c r="Z181" i="3"/>
  <c r="J181" i="3"/>
  <c r="I181" i="3"/>
  <c r="H181" i="3"/>
  <c r="BJ180" i="3"/>
  <c r="BF180" i="3"/>
  <c r="BD180" i="3"/>
  <c r="AP180" i="3"/>
  <c r="BI180" i="3" s="1"/>
  <c r="AC180" i="3" s="1"/>
  <c r="AO180" i="3"/>
  <c r="H180" i="3" s="1"/>
  <c r="AK180" i="3"/>
  <c r="AJ180" i="3"/>
  <c r="AH180" i="3"/>
  <c r="AG180" i="3"/>
  <c r="AF180" i="3"/>
  <c r="AE180" i="3"/>
  <c r="AD180" i="3"/>
  <c r="Z180" i="3"/>
  <c r="J180" i="3"/>
  <c r="AL180" i="3" s="1"/>
  <c r="BJ179" i="3"/>
  <c r="BF179" i="3"/>
  <c r="BD179" i="3"/>
  <c r="AP179" i="3"/>
  <c r="I179" i="3" s="1"/>
  <c r="AO179" i="3"/>
  <c r="BH179" i="3" s="1"/>
  <c r="AB179" i="3" s="1"/>
  <c r="AL179" i="3"/>
  <c r="AK179" i="3"/>
  <c r="AJ179" i="3"/>
  <c r="AS178" i="3" s="1"/>
  <c r="AH179" i="3"/>
  <c r="AG179" i="3"/>
  <c r="AF179" i="3"/>
  <c r="AE179" i="3"/>
  <c r="AD179" i="3"/>
  <c r="Z179" i="3"/>
  <c r="J179" i="3"/>
  <c r="H179" i="3"/>
  <c r="BJ177" i="3"/>
  <c r="BF177" i="3"/>
  <c r="BD177" i="3"/>
  <c r="AX177" i="3"/>
  <c r="AP177" i="3"/>
  <c r="BI177" i="3" s="1"/>
  <c r="AC177" i="3" s="1"/>
  <c r="AO177" i="3"/>
  <c r="H177" i="3" s="1"/>
  <c r="H176" i="3" s="1"/>
  <c r="AK177" i="3"/>
  <c r="AJ177" i="3"/>
  <c r="AH177" i="3"/>
  <c r="AG177" i="3"/>
  <c r="AF177" i="3"/>
  <c r="AE177" i="3"/>
  <c r="AD177" i="3"/>
  <c r="Z177" i="3"/>
  <c r="J177" i="3"/>
  <c r="J176" i="3" s="1"/>
  <c r="I177" i="3"/>
  <c r="I176" i="3" s="1"/>
  <c r="AT176" i="3"/>
  <c r="AS176" i="3"/>
  <c r="BJ174" i="3"/>
  <c r="AH174" i="3" s="1"/>
  <c r="BF174" i="3"/>
  <c r="BD174" i="3"/>
  <c r="AX174" i="3"/>
  <c r="AP174" i="3"/>
  <c r="BI174" i="3" s="1"/>
  <c r="AO174" i="3"/>
  <c r="BH174" i="3" s="1"/>
  <c r="AK174" i="3"/>
  <c r="AJ174" i="3"/>
  <c r="AG174" i="3"/>
  <c r="AF174" i="3"/>
  <c r="AE174" i="3"/>
  <c r="AD174" i="3"/>
  <c r="AC174" i="3"/>
  <c r="AB174" i="3"/>
  <c r="Z174" i="3"/>
  <c r="J174" i="3"/>
  <c r="AL174" i="3" s="1"/>
  <c r="I174" i="3"/>
  <c r="H174" i="3"/>
  <c r="BJ173" i="3"/>
  <c r="AH173" i="3" s="1"/>
  <c r="BF173" i="3"/>
  <c r="BD173" i="3"/>
  <c r="AW173" i="3"/>
  <c r="AP173" i="3"/>
  <c r="BI173" i="3" s="1"/>
  <c r="AO173" i="3"/>
  <c r="BH173" i="3" s="1"/>
  <c r="AK173" i="3"/>
  <c r="AJ173" i="3"/>
  <c r="AG173" i="3"/>
  <c r="AF173" i="3"/>
  <c r="AE173" i="3"/>
  <c r="AD173" i="3"/>
  <c r="AC173" i="3"/>
  <c r="AB173" i="3"/>
  <c r="Z173" i="3"/>
  <c r="J173" i="3"/>
  <c r="AL173" i="3" s="1"/>
  <c r="I173" i="3"/>
  <c r="BJ172" i="3"/>
  <c r="BF172" i="3"/>
  <c r="BD172" i="3"/>
  <c r="AP172" i="3"/>
  <c r="BI172" i="3" s="1"/>
  <c r="AO172" i="3"/>
  <c r="H172" i="3" s="1"/>
  <c r="AK172" i="3"/>
  <c r="AJ172" i="3"/>
  <c r="AH172" i="3"/>
  <c r="AG172" i="3"/>
  <c r="AF172" i="3"/>
  <c r="AE172" i="3"/>
  <c r="AD172" i="3"/>
  <c r="AC172" i="3"/>
  <c r="AB172" i="3"/>
  <c r="Z172" i="3"/>
  <c r="J172" i="3"/>
  <c r="AL172" i="3" s="1"/>
  <c r="I172" i="3"/>
  <c r="BJ171" i="3"/>
  <c r="AH171" i="3" s="1"/>
  <c r="BF171" i="3"/>
  <c r="BD171" i="3"/>
  <c r="AW171" i="3"/>
  <c r="AP171" i="3"/>
  <c r="I171" i="3" s="1"/>
  <c r="AO171" i="3"/>
  <c r="BH171" i="3" s="1"/>
  <c r="AK171" i="3"/>
  <c r="AJ171" i="3"/>
  <c r="AG171" i="3"/>
  <c r="AF171" i="3"/>
  <c r="AE171" i="3"/>
  <c r="AD171" i="3"/>
  <c r="AC171" i="3"/>
  <c r="AB171" i="3"/>
  <c r="Z171" i="3"/>
  <c r="J171" i="3"/>
  <c r="AL171" i="3" s="1"/>
  <c r="H171" i="3"/>
  <c r="BJ170" i="3"/>
  <c r="AH170" i="3" s="1"/>
  <c r="BF170" i="3"/>
  <c r="BD170" i="3"/>
  <c r="AP170" i="3"/>
  <c r="BI170" i="3" s="1"/>
  <c r="AO170" i="3"/>
  <c r="BH170" i="3" s="1"/>
  <c r="AK170" i="3"/>
  <c r="AJ170" i="3"/>
  <c r="AG170" i="3"/>
  <c r="AF170" i="3"/>
  <c r="AE170" i="3"/>
  <c r="AD170" i="3"/>
  <c r="AC170" i="3"/>
  <c r="AB170" i="3"/>
  <c r="Z170" i="3"/>
  <c r="J170" i="3"/>
  <c r="AL170" i="3" s="1"/>
  <c r="I170" i="3"/>
  <c r="H170" i="3"/>
  <c r="BJ168" i="3"/>
  <c r="AH168" i="3" s="1"/>
  <c r="BF168" i="3"/>
  <c r="BD168" i="3"/>
  <c r="AW168" i="3"/>
  <c r="AP168" i="3"/>
  <c r="BI168" i="3" s="1"/>
  <c r="AO168" i="3"/>
  <c r="BH168" i="3" s="1"/>
  <c r="AK168" i="3"/>
  <c r="AJ168" i="3"/>
  <c r="AG168" i="3"/>
  <c r="AF168" i="3"/>
  <c r="AE168" i="3"/>
  <c r="AD168" i="3"/>
  <c r="AC168" i="3"/>
  <c r="AB168" i="3"/>
  <c r="Z168" i="3"/>
  <c r="J168" i="3"/>
  <c r="AL168" i="3" s="1"/>
  <c r="I168" i="3"/>
  <c r="BJ167" i="3"/>
  <c r="BF167" i="3"/>
  <c r="BD167" i="3"/>
  <c r="AP167" i="3"/>
  <c r="BI167" i="3" s="1"/>
  <c r="AO167" i="3"/>
  <c r="H167" i="3" s="1"/>
  <c r="AK167" i="3"/>
  <c r="AJ167" i="3"/>
  <c r="AH167" i="3"/>
  <c r="AG167" i="3"/>
  <c r="AF167" i="3"/>
  <c r="AE167" i="3"/>
  <c r="AD167" i="3"/>
  <c r="AC167" i="3"/>
  <c r="AB167" i="3"/>
  <c r="Z167" i="3"/>
  <c r="J167" i="3"/>
  <c r="AL167" i="3" s="1"/>
  <c r="BJ166" i="3"/>
  <c r="BF166" i="3"/>
  <c r="BD166" i="3"/>
  <c r="AW166" i="3"/>
  <c r="AP166" i="3"/>
  <c r="I166" i="3" s="1"/>
  <c r="AO166" i="3"/>
  <c r="BH166" i="3" s="1"/>
  <c r="AL166" i="3"/>
  <c r="AK166" i="3"/>
  <c r="AJ166" i="3"/>
  <c r="AH166" i="3"/>
  <c r="AG166" i="3"/>
  <c r="AF166" i="3"/>
  <c r="AE166" i="3"/>
  <c r="AD166" i="3"/>
  <c r="AC166" i="3"/>
  <c r="AB166" i="3"/>
  <c r="Z166" i="3"/>
  <c r="J166" i="3"/>
  <c r="H166" i="3"/>
  <c r="BJ165" i="3"/>
  <c r="AH165" i="3" s="1"/>
  <c r="BF165" i="3"/>
  <c r="BD165" i="3"/>
  <c r="AX165" i="3"/>
  <c r="AP165" i="3"/>
  <c r="BI165" i="3" s="1"/>
  <c r="AO165" i="3"/>
  <c r="BH165" i="3" s="1"/>
  <c r="AK165" i="3"/>
  <c r="AJ165" i="3"/>
  <c r="AG165" i="3"/>
  <c r="AF165" i="3"/>
  <c r="AE165" i="3"/>
  <c r="AD165" i="3"/>
  <c r="AC165" i="3"/>
  <c r="AB165" i="3"/>
  <c r="Z165" i="3"/>
  <c r="J165" i="3"/>
  <c r="AL165" i="3" s="1"/>
  <c r="I165" i="3"/>
  <c r="H165" i="3"/>
  <c r="BJ163" i="3"/>
  <c r="BF163" i="3"/>
  <c r="BD163" i="3"/>
  <c r="AP163" i="3"/>
  <c r="I163" i="3" s="1"/>
  <c r="I162" i="3" s="1"/>
  <c r="AO163" i="3"/>
  <c r="BH163" i="3" s="1"/>
  <c r="AL163" i="3"/>
  <c r="AK163" i="3"/>
  <c r="AJ163" i="3"/>
  <c r="AS162" i="3" s="1"/>
  <c r="AH163" i="3"/>
  <c r="AG163" i="3"/>
  <c r="AF163" i="3"/>
  <c r="AE163" i="3"/>
  <c r="AD163" i="3"/>
  <c r="AC163" i="3"/>
  <c r="AB163" i="3"/>
  <c r="Z163" i="3"/>
  <c r="J163" i="3"/>
  <c r="J162" i="3" s="1"/>
  <c r="H163" i="3"/>
  <c r="H162" i="3" s="1"/>
  <c r="AU162" i="3"/>
  <c r="AT162" i="3"/>
  <c r="BJ161" i="3"/>
  <c r="BF161" i="3"/>
  <c r="BD161" i="3"/>
  <c r="AX161" i="3"/>
  <c r="AP161" i="3"/>
  <c r="BI161" i="3" s="1"/>
  <c r="AC161" i="3" s="1"/>
  <c r="AO161" i="3"/>
  <c r="AW161" i="3" s="1"/>
  <c r="AK161" i="3"/>
  <c r="AJ161" i="3"/>
  <c r="AH161" i="3"/>
  <c r="AG161" i="3"/>
  <c r="AF161" i="3"/>
  <c r="AE161" i="3"/>
  <c r="AD161" i="3"/>
  <c r="Z161" i="3"/>
  <c r="J161" i="3"/>
  <c r="AL161" i="3" s="1"/>
  <c r="I161" i="3"/>
  <c r="BJ160" i="3"/>
  <c r="BF160" i="3"/>
  <c r="BD160" i="3"/>
  <c r="AW160" i="3"/>
  <c r="AP160" i="3"/>
  <c r="AX160" i="3" s="1"/>
  <c r="BC160" i="3" s="1"/>
  <c r="AO160" i="3"/>
  <c r="BH160" i="3" s="1"/>
  <c r="AB160" i="3" s="1"/>
  <c r="AK160" i="3"/>
  <c r="AJ160" i="3"/>
  <c r="AH160" i="3"/>
  <c r="AG160" i="3"/>
  <c r="AF160" i="3"/>
  <c r="AE160" i="3"/>
  <c r="AD160" i="3"/>
  <c r="Z160" i="3"/>
  <c r="J160" i="3"/>
  <c r="AL160" i="3" s="1"/>
  <c r="H160" i="3"/>
  <c r="BJ159" i="3"/>
  <c r="BF159" i="3"/>
  <c r="BD159" i="3"/>
  <c r="AX159" i="3"/>
  <c r="AP159" i="3"/>
  <c r="BI159" i="3" s="1"/>
  <c r="AC159" i="3" s="1"/>
  <c r="AO159" i="3"/>
  <c r="BH159" i="3" s="1"/>
  <c r="AB159" i="3" s="1"/>
  <c r="AK159" i="3"/>
  <c r="AJ159" i="3"/>
  <c r="AH159" i="3"/>
  <c r="AG159" i="3"/>
  <c r="AF159" i="3"/>
  <c r="AE159" i="3"/>
  <c r="AD159" i="3"/>
  <c r="Z159" i="3"/>
  <c r="J159" i="3"/>
  <c r="AL159" i="3" s="1"/>
  <c r="I159" i="3"/>
  <c r="H159" i="3"/>
  <c r="BJ158" i="3"/>
  <c r="BF158" i="3"/>
  <c r="BD158" i="3"/>
  <c r="AP158" i="3"/>
  <c r="BI158" i="3" s="1"/>
  <c r="AC158" i="3" s="1"/>
  <c r="AO158" i="3"/>
  <c r="BH158" i="3" s="1"/>
  <c r="AB158" i="3" s="1"/>
  <c r="AK158" i="3"/>
  <c r="AJ158" i="3"/>
  <c r="AH158" i="3"/>
  <c r="AG158" i="3"/>
  <c r="AF158" i="3"/>
  <c r="AE158" i="3"/>
  <c r="AD158" i="3"/>
  <c r="Z158" i="3"/>
  <c r="J158" i="3"/>
  <c r="AL158" i="3" s="1"/>
  <c r="I158" i="3"/>
  <c r="BJ157" i="3"/>
  <c r="BF157" i="3"/>
  <c r="BD157" i="3"/>
  <c r="AX157" i="3"/>
  <c r="AP157" i="3"/>
  <c r="BI157" i="3" s="1"/>
  <c r="AC157" i="3" s="1"/>
  <c r="AO157" i="3"/>
  <c r="AW157" i="3" s="1"/>
  <c r="AK157" i="3"/>
  <c r="AJ157" i="3"/>
  <c r="AH157" i="3"/>
  <c r="AG157" i="3"/>
  <c r="AF157" i="3"/>
  <c r="AE157" i="3"/>
  <c r="AD157" i="3"/>
  <c r="Z157" i="3"/>
  <c r="J157" i="3"/>
  <c r="AL157" i="3" s="1"/>
  <c r="I157" i="3"/>
  <c r="H157" i="3"/>
  <c r="BJ156" i="3"/>
  <c r="BF156" i="3"/>
  <c r="BD156" i="3"/>
  <c r="AP156" i="3"/>
  <c r="AX156" i="3" s="1"/>
  <c r="AO156" i="3"/>
  <c r="BH156" i="3" s="1"/>
  <c r="AB156" i="3" s="1"/>
  <c r="AL156" i="3"/>
  <c r="AK156" i="3"/>
  <c r="AJ156" i="3"/>
  <c r="AS154" i="3" s="1"/>
  <c r="AH156" i="3"/>
  <c r="AG156" i="3"/>
  <c r="AF156" i="3"/>
  <c r="AE156" i="3"/>
  <c r="AD156" i="3"/>
  <c r="Z156" i="3"/>
  <c r="J156" i="3"/>
  <c r="I156" i="3"/>
  <c r="H156" i="3"/>
  <c r="BJ155" i="3"/>
  <c r="BF155" i="3"/>
  <c r="BD155" i="3"/>
  <c r="AP155" i="3"/>
  <c r="BI155" i="3" s="1"/>
  <c r="AC155" i="3" s="1"/>
  <c r="AO155" i="3"/>
  <c r="BH155" i="3" s="1"/>
  <c r="AB155" i="3" s="1"/>
  <c r="AK155" i="3"/>
  <c r="AJ155" i="3"/>
  <c r="AH155" i="3"/>
  <c r="AG155" i="3"/>
  <c r="AF155" i="3"/>
  <c r="AE155" i="3"/>
  <c r="AD155" i="3"/>
  <c r="Z155" i="3"/>
  <c r="J155" i="3"/>
  <c r="H155" i="3"/>
  <c r="AT154" i="3"/>
  <c r="BJ153" i="3"/>
  <c r="BF153" i="3"/>
  <c r="BD153" i="3"/>
  <c r="AP153" i="3"/>
  <c r="AX153" i="3" s="1"/>
  <c r="AO153" i="3"/>
  <c r="BH153" i="3" s="1"/>
  <c r="AB153" i="3" s="1"/>
  <c r="AK153" i="3"/>
  <c r="AJ153" i="3"/>
  <c r="AH153" i="3"/>
  <c r="AG153" i="3"/>
  <c r="AF153" i="3"/>
  <c r="AE153" i="3"/>
  <c r="AD153" i="3"/>
  <c r="Z153" i="3"/>
  <c r="J153" i="3"/>
  <c r="AL153" i="3" s="1"/>
  <c r="AU152" i="3" s="1"/>
  <c r="AT152" i="3"/>
  <c r="AS152" i="3"/>
  <c r="J152" i="3"/>
  <c r="BJ150" i="3"/>
  <c r="BF150" i="3"/>
  <c r="BD150" i="3"/>
  <c r="AP150" i="3"/>
  <c r="BI150" i="3" s="1"/>
  <c r="AC150" i="3" s="1"/>
  <c r="AO150" i="3"/>
  <c r="BH150" i="3" s="1"/>
  <c r="AB150" i="3" s="1"/>
  <c r="AL150" i="3"/>
  <c r="AK150" i="3"/>
  <c r="AJ150" i="3"/>
  <c r="AS148" i="3" s="1"/>
  <c r="AH150" i="3"/>
  <c r="AG150" i="3"/>
  <c r="AF150" i="3"/>
  <c r="AE150" i="3"/>
  <c r="AD150" i="3"/>
  <c r="Z150" i="3"/>
  <c r="J150" i="3"/>
  <c r="I150" i="3"/>
  <c r="H150" i="3"/>
  <c r="BJ149" i="3"/>
  <c r="BF149" i="3"/>
  <c r="BD149" i="3"/>
  <c r="AP149" i="3"/>
  <c r="BI149" i="3" s="1"/>
  <c r="AC149" i="3" s="1"/>
  <c r="AO149" i="3"/>
  <c r="AW149" i="3" s="1"/>
  <c r="AK149" i="3"/>
  <c r="AJ149" i="3"/>
  <c r="AH149" i="3"/>
  <c r="AG149" i="3"/>
  <c r="AF149" i="3"/>
  <c r="AE149" i="3"/>
  <c r="AD149" i="3"/>
  <c r="Z149" i="3"/>
  <c r="J149" i="3"/>
  <c r="AL149" i="3" s="1"/>
  <c r="H149" i="3"/>
  <c r="AT148" i="3"/>
  <c r="J148" i="3"/>
  <c r="J147" i="3" s="1"/>
  <c r="BJ145" i="3"/>
  <c r="BF145" i="3"/>
  <c r="BD145" i="3"/>
  <c r="AP145" i="3"/>
  <c r="BI145" i="3" s="1"/>
  <c r="AC145" i="3" s="1"/>
  <c r="AO145" i="3"/>
  <c r="BH145" i="3" s="1"/>
  <c r="AB145" i="3" s="1"/>
  <c r="AK145" i="3"/>
  <c r="AJ145" i="3"/>
  <c r="AH145" i="3"/>
  <c r="AG145" i="3"/>
  <c r="AF145" i="3"/>
  <c r="AE145" i="3"/>
  <c r="AD145" i="3"/>
  <c r="Z145" i="3"/>
  <c r="J145" i="3"/>
  <c r="AL145" i="3" s="1"/>
  <c r="BJ143" i="3"/>
  <c r="BF143" i="3"/>
  <c r="BD143" i="3"/>
  <c r="AP143" i="3"/>
  <c r="BI143" i="3" s="1"/>
  <c r="AC143" i="3" s="1"/>
  <c r="AO143" i="3"/>
  <c r="BH143" i="3" s="1"/>
  <c r="AB143" i="3" s="1"/>
  <c r="AL143" i="3"/>
  <c r="AK143" i="3"/>
  <c r="AJ143" i="3"/>
  <c r="AH143" i="3"/>
  <c r="AG143" i="3"/>
  <c r="AF143" i="3"/>
  <c r="AE143" i="3"/>
  <c r="AD143" i="3"/>
  <c r="Z143" i="3"/>
  <c r="J143" i="3"/>
  <c r="I143" i="3"/>
  <c r="H143" i="3"/>
  <c r="BJ141" i="3"/>
  <c r="BF141" i="3"/>
  <c r="BD141" i="3"/>
  <c r="AP141" i="3"/>
  <c r="BI141" i="3" s="1"/>
  <c r="AC141" i="3" s="1"/>
  <c r="AO141" i="3"/>
  <c r="AW141" i="3" s="1"/>
  <c r="AK141" i="3"/>
  <c r="AT138" i="3" s="1"/>
  <c r="AJ141" i="3"/>
  <c r="AH141" i="3"/>
  <c r="AG141" i="3"/>
  <c r="AF141" i="3"/>
  <c r="AE141" i="3"/>
  <c r="AD141" i="3"/>
  <c r="Z141" i="3"/>
  <c r="J141" i="3"/>
  <c r="AL141" i="3" s="1"/>
  <c r="BJ139" i="3"/>
  <c r="BF139" i="3"/>
  <c r="BD139" i="3"/>
  <c r="AP139" i="3"/>
  <c r="AX139" i="3" s="1"/>
  <c r="AO139" i="3"/>
  <c r="BH139" i="3" s="1"/>
  <c r="AB139" i="3" s="1"/>
  <c r="AK139" i="3"/>
  <c r="AJ139" i="3"/>
  <c r="AH139" i="3"/>
  <c r="AG139" i="3"/>
  <c r="AF139" i="3"/>
  <c r="AE139" i="3"/>
  <c r="AD139" i="3"/>
  <c r="Z139" i="3"/>
  <c r="J139" i="3"/>
  <c r="AL139" i="3" s="1"/>
  <c r="I139" i="3"/>
  <c r="H139" i="3"/>
  <c r="AS138" i="3"/>
  <c r="BJ136" i="3"/>
  <c r="BF136" i="3"/>
  <c r="BD136" i="3"/>
  <c r="AP136" i="3"/>
  <c r="BI136" i="3" s="1"/>
  <c r="AO136" i="3"/>
  <c r="BH136" i="3" s="1"/>
  <c r="AK136" i="3"/>
  <c r="AJ136" i="3"/>
  <c r="AH136" i="3"/>
  <c r="AG136" i="3"/>
  <c r="AF136" i="3"/>
  <c r="AE136" i="3"/>
  <c r="AD136" i="3"/>
  <c r="AC136" i="3"/>
  <c r="AB136" i="3"/>
  <c r="Z136" i="3"/>
  <c r="J136" i="3"/>
  <c r="AL136" i="3" s="1"/>
  <c r="AU135" i="3" s="1"/>
  <c r="AT135" i="3"/>
  <c r="AS135" i="3"/>
  <c r="BJ134" i="3"/>
  <c r="Z134" i="3" s="1"/>
  <c r="BF134" i="3"/>
  <c r="BD134" i="3"/>
  <c r="AP134" i="3"/>
  <c r="BI134" i="3" s="1"/>
  <c r="AO134" i="3"/>
  <c r="BH134" i="3" s="1"/>
  <c r="AK134" i="3"/>
  <c r="AJ134" i="3"/>
  <c r="AH134" i="3"/>
  <c r="AG134" i="3"/>
  <c r="AF134" i="3"/>
  <c r="AE134" i="3"/>
  <c r="AD134" i="3"/>
  <c r="AC134" i="3"/>
  <c r="AB134" i="3"/>
  <c r="J134" i="3"/>
  <c r="AL134" i="3" s="1"/>
  <c r="AU133" i="3" s="1"/>
  <c r="I134" i="3"/>
  <c r="I133" i="3" s="1"/>
  <c r="H134" i="3"/>
  <c r="H133" i="3" s="1"/>
  <c r="AT133" i="3"/>
  <c r="AS133" i="3"/>
  <c r="BJ132" i="3"/>
  <c r="BF132" i="3"/>
  <c r="BD132" i="3"/>
  <c r="AP132" i="3"/>
  <c r="AX132" i="3" s="1"/>
  <c r="AO132" i="3"/>
  <c r="BH132" i="3" s="1"/>
  <c r="AB132" i="3" s="1"/>
  <c r="AL132" i="3"/>
  <c r="AK132" i="3"/>
  <c r="AJ132" i="3"/>
  <c r="AH132" i="3"/>
  <c r="AG132" i="3"/>
  <c r="AF132" i="3"/>
  <c r="AE132" i="3"/>
  <c r="AD132" i="3"/>
  <c r="Z132" i="3"/>
  <c r="J132" i="3"/>
  <c r="I132" i="3"/>
  <c r="H132" i="3"/>
  <c r="BJ131" i="3"/>
  <c r="BF131" i="3"/>
  <c r="BD131" i="3"/>
  <c r="AP131" i="3"/>
  <c r="BI131" i="3" s="1"/>
  <c r="AC131" i="3" s="1"/>
  <c r="AO131" i="3"/>
  <c r="BH131" i="3" s="1"/>
  <c r="AB131" i="3" s="1"/>
  <c r="AK131" i="3"/>
  <c r="AJ131" i="3"/>
  <c r="AH131" i="3"/>
  <c r="AG131" i="3"/>
  <c r="AF131" i="3"/>
  <c r="AE131" i="3"/>
  <c r="AD131" i="3"/>
  <c r="Z131" i="3"/>
  <c r="J131" i="3"/>
  <c r="AL131" i="3" s="1"/>
  <c r="H131" i="3"/>
  <c r="BJ130" i="3"/>
  <c r="BF130" i="3"/>
  <c r="BD130" i="3"/>
  <c r="AP130" i="3"/>
  <c r="BI130" i="3" s="1"/>
  <c r="AC130" i="3" s="1"/>
  <c r="AO130" i="3"/>
  <c r="BH130" i="3" s="1"/>
  <c r="AB130" i="3" s="1"/>
  <c r="AL130" i="3"/>
  <c r="AK130" i="3"/>
  <c r="AJ130" i="3"/>
  <c r="AH130" i="3"/>
  <c r="AG130" i="3"/>
  <c r="AF130" i="3"/>
  <c r="AE130" i="3"/>
  <c r="AD130" i="3"/>
  <c r="Z130" i="3"/>
  <c r="J130" i="3"/>
  <c r="I130" i="3"/>
  <c r="H130" i="3"/>
  <c r="BJ129" i="3"/>
  <c r="BF129" i="3"/>
  <c r="BD129" i="3"/>
  <c r="AX129" i="3"/>
  <c r="AP129" i="3"/>
  <c r="BI129" i="3" s="1"/>
  <c r="AC129" i="3" s="1"/>
  <c r="AO129" i="3"/>
  <c r="AW129" i="3" s="1"/>
  <c r="AK129" i="3"/>
  <c r="AJ129" i="3"/>
  <c r="AH129" i="3"/>
  <c r="AG129" i="3"/>
  <c r="AF129" i="3"/>
  <c r="AE129" i="3"/>
  <c r="AD129" i="3"/>
  <c r="Z129" i="3"/>
  <c r="J129" i="3"/>
  <c r="AL129" i="3" s="1"/>
  <c r="I129" i="3"/>
  <c r="BJ128" i="3"/>
  <c r="BF128" i="3"/>
  <c r="BD128" i="3"/>
  <c r="AP128" i="3"/>
  <c r="AX128" i="3" s="1"/>
  <c r="AO128" i="3"/>
  <c r="BH128" i="3" s="1"/>
  <c r="AB128" i="3" s="1"/>
  <c r="AL128" i="3"/>
  <c r="AK128" i="3"/>
  <c r="AJ128" i="3"/>
  <c r="AS126" i="3" s="1"/>
  <c r="AH128" i="3"/>
  <c r="AG128" i="3"/>
  <c r="AF128" i="3"/>
  <c r="AE128" i="3"/>
  <c r="AD128" i="3"/>
  <c r="Z128" i="3"/>
  <c r="J128" i="3"/>
  <c r="I128" i="3"/>
  <c r="H128" i="3"/>
  <c r="BJ127" i="3"/>
  <c r="BF127" i="3"/>
  <c r="BD127" i="3"/>
  <c r="AP127" i="3"/>
  <c r="BI127" i="3" s="1"/>
  <c r="AC127" i="3" s="1"/>
  <c r="AO127" i="3"/>
  <c r="BH127" i="3" s="1"/>
  <c r="AB127" i="3" s="1"/>
  <c r="AK127" i="3"/>
  <c r="AT126" i="3" s="1"/>
  <c r="AJ127" i="3"/>
  <c r="AH127" i="3"/>
  <c r="AG127" i="3"/>
  <c r="AF127" i="3"/>
  <c r="AE127" i="3"/>
  <c r="AD127" i="3"/>
  <c r="Z127" i="3"/>
  <c r="J127" i="3"/>
  <c r="AL127" i="3" s="1"/>
  <c r="AU126" i="3" s="1"/>
  <c r="H127" i="3"/>
  <c r="BJ125" i="3"/>
  <c r="BF125" i="3"/>
  <c r="BD125" i="3"/>
  <c r="AP125" i="3"/>
  <c r="AX125" i="3" s="1"/>
  <c r="AO125" i="3"/>
  <c r="BH125" i="3" s="1"/>
  <c r="AB125" i="3" s="1"/>
  <c r="AL125" i="3"/>
  <c r="AU124" i="3" s="1"/>
  <c r="AK125" i="3"/>
  <c r="AJ125" i="3"/>
  <c r="AH125" i="3"/>
  <c r="AG125" i="3"/>
  <c r="AF125" i="3"/>
  <c r="AE125" i="3"/>
  <c r="AD125" i="3"/>
  <c r="Z125" i="3"/>
  <c r="J125" i="3"/>
  <c r="J124" i="3" s="1"/>
  <c r="I125" i="3"/>
  <c r="I124" i="3" s="1"/>
  <c r="AT124" i="3"/>
  <c r="AS124" i="3"/>
  <c r="BJ122" i="3"/>
  <c r="AH122" i="3" s="1"/>
  <c r="BF122" i="3"/>
  <c r="BD122" i="3"/>
  <c r="AP122" i="3"/>
  <c r="BI122" i="3" s="1"/>
  <c r="AO122" i="3"/>
  <c r="BH122" i="3" s="1"/>
  <c r="AL122" i="3"/>
  <c r="AK122" i="3"/>
  <c r="AJ122" i="3"/>
  <c r="AG122" i="3"/>
  <c r="AF122" i="3"/>
  <c r="AE122" i="3"/>
  <c r="AD122" i="3"/>
  <c r="AC122" i="3"/>
  <c r="AB122" i="3"/>
  <c r="Z122" i="3"/>
  <c r="J122" i="3"/>
  <c r="I122" i="3"/>
  <c r="BJ121" i="3"/>
  <c r="BF121" i="3"/>
  <c r="BD121" i="3"/>
  <c r="AP121" i="3"/>
  <c r="BI121" i="3" s="1"/>
  <c r="AO121" i="3"/>
  <c r="AW121" i="3" s="1"/>
  <c r="AK121" i="3"/>
  <c r="AJ121" i="3"/>
  <c r="AH121" i="3"/>
  <c r="AG121" i="3"/>
  <c r="AF121" i="3"/>
  <c r="AE121" i="3"/>
  <c r="AD121" i="3"/>
  <c r="AC121" i="3"/>
  <c r="AB121" i="3"/>
  <c r="Z121" i="3"/>
  <c r="J121" i="3"/>
  <c r="AL121" i="3" s="1"/>
  <c r="H121" i="3"/>
  <c r="AT120" i="3"/>
  <c r="BJ119" i="3"/>
  <c r="Z119" i="3" s="1"/>
  <c r="BF119" i="3"/>
  <c r="BD119" i="3"/>
  <c r="AP119" i="3"/>
  <c r="BI119" i="3" s="1"/>
  <c r="AO119" i="3"/>
  <c r="BH119" i="3" s="1"/>
  <c r="AL119" i="3"/>
  <c r="AU118" i="3" s="1"/>
  <c r="AK119" i="3"/>
  <c r="AJ119" i="3"/>
  <c r="AH119" i="3"/>
  <c r="AG119" i="3"/>
  <c r="AF119" i="3"/>
  <c r="AE119" i="3"/>
  <c r="AD119" i="3"/>
  <c r="AC119" i="3"/>
  <c r="AB119" i="3"/>
  <c r="J119" i="3"/>
  <c r="I119" i="3"/>
  <c r="AT118" i="3"/>
  <c r="AS118" i="3"/>
  <c r="J118" i="3"/>
  <c r="I118" i="3"/>
  <c r="BJ117" i="3"/>
  <c r="BF117" i="3"/>
  <c r="BD117" i="3"/>
  <c r="AX117" i="3"/>
  <c r="AP117" i="3"/>
  <c r="BI117" i="3" s="1"/>
  <c r="AC117" i="3" s="1"/>
  <c r="AO117" i="3"/>
  <c r="BH117" i="3" s="1"/>
  <c r="AB117" i="3" s="1"/>
  <c r="AK117" i="3"/>
  <c r="AJ117" i="3"/>
  <c r="AH117" i="3"/>
  <c r="AG117" i="3"/>
  <c r="AF117" i="3"/>
  <c r="AE117" i="3"/>
  <c r="AD117" i="3"/>
  <c r="Z117" i="3"/>
  <c r="J117" i="3"/>
  <c r="AL117" i="3" s="1"/>
  <c r="I117" i="3"/>
  <c r="BJ116" i="3"/>
  <c r="BF116" i="3"/>
  <c r="BD116" i="3"/>
  <c r="AP116" i="3"/>
  <c r="BI116" i="3" s="1"/>
  <c r="AC116" i="3" s="1"/>
  <c r="AO116" i="3"/>
  <c r="BH116" i="3" s="1"/>
  <c r="AB116" i="3" s="1"/>
  <c r="AL116" i="3"/>
  <c r="AK116" i="3"/>
  <c r="AJ116" i="3"/>
  <c r="AH116" i="3"/>
  <c r="AG116" i="3"/>
  <c r="AF116" i="3"/>
  <c r="AE116" i="3"/>
  <c r="AD116" i="3"/>
  <c r="Z116" i="3"/>
  <c r="J116" i="3"/>
  <c r="I116" i="3"/>
  <c r="BJ115" i="3"/>
  <c r="BF115" i="3"/>
  <c r="BD115" i="3"/>
  <c r="AP115" i="3"/>
  <c r="BI115" i="3" s="1"/>
  <c r="AC115" i="3" s="1"/>
  <c r="AO115" i="3"/>
  <c r="AW115" i="3" s="1"/>
  <c r="AK115" i="3"/>
  <c r="AJ115" i="3"/>
  <c r="AH115" i="3"/>
  <c r="AG115" i="3"/>
  <c r="AF115" i="3"/>
  <c r="AE115" i="3"/>
  <c r="AD115" i="3"/>
  <c r="Z115" i="3"/>
  <c r="J115" i="3"/>
  <c r="AL115" i="3" s="1"/>
  <c r="H115" i="3"/>
  <c r="BJ114" i="3"/>
  <c r="BF114" i="3"/>
  <c r="BD114" i="3"/>
  <c r="AP114" i="3"/>
  <c r="AX114" i="3" s="1"/>
  <c r="AO114" i="3"/>
  <c r="BH114" i="3" s="1"/>
  <c r="AB114" i="3" s="1"/>
  <c r="AL114" i="3"/>
  <c r="AK114" i="3"/>
  <c r="AT112" i="3" s="1"/>
  <c r="AJ114" i="3"/>
  <c r="AH114" i="3"/>
  <c r="AG114" i="3"/>
  <c r="AF114" i="3"/>
  <c r="AE114" i="3"/>
  <c r="AD114" i="3"/>
  <c r="Z114" i="3"/>
  <c r="J114" i="3"/>
  <c r="I114" i="3"/>
  <c r="H114" i="3"/>
  <c r="BJ113" i="3"/>
  <c r="BF113" i="3"/>
  <c r="BD113" i="3"/>
  <c r="AX113" i="3"/>
  <c r="AP113" i="3"/>
  <c r="BI113" i="3" s="1"/>
  <c r="AC113" i="3" s="1"/>
  <c r="AO113" i="3"/>
  <c r="BH113" i="3" s="1"/>
  <c r="AB113" i="3" s="1"/>
  <c r="AK113" i="3"/>
  <c r="AJ113" i="3"/>
  <c r="AH113" i="3"/>
  <c r="AG113" i="3"/>
  <c r="AF113" i="3"/>
  <c r="AE113" i="3"/>
  <c r="AD113" i="3"/>
  <c r="Z113" i="3"/>
  <c r="J113" i="3"/>
  <c r="AL113" i="3" s="1"/>
  <c r="I113" i="3"/>
  <c r="J112" i="3"/>
  <c r="BJ110" i="3"/>
  <c r="BF110" i="3"/>
  <c r="BD110" i="3"/>
  <c r="AP110" i="3"/>
  <c r="BI110" i="3" s="1"/>
  <c r="AO110" i="3"/>
  <c r="AW110" i="3" s="1"/>
  <c r="AK110" i="3"/>
  <c r="AJ110" i="3"/>
  <c r="AH110" i="3"/>
  <c r="AG110" i="3"/>
  <c r="AF110" i="3"/>
  <c r="AE110" i="3"/>
  <c r="AD110" i="3"/>
  <c r="AC110" i="3"/>
  <c r="AB110" i="3"/>
  <c r="Z110" i="3"/>
  <c r="J110" i="3"/>
  <c r="AL110" i="3" s="1"/>
  <c r="I110" i="3"/>
  <c r="BJ109" i="3"/>
  <c r="BF109" i="3"/>
  <c r="BD109" i="3"/>
  <c r="AW109" i="3"/>
  <c r="AP109" i="3"/>
  <c r="AX109" i="3" s="1"/>
  <c r="AO109" i="3"/>
  <c r="BH109" i="3" s="1"/>
  <c r="AL109" i="3"/>
  <c r="AK109" i="3"/>
  <c r="AJ109" i="3"/>
  <c r="AH109" i="3"/>
  <c r="AG109" i="3"/>
  <c r="AF109" i="3"/>
  <c r="AE109" i="3"/>
  <c r="AD109" i="3"/>
  <c r="AC109" i="3"/>
  <c r="AB109" i="3"/>
  <c r="Z109" i="3"/>
  <c r="J109" i="3"/>
  <c r="H109" i="3"/>
  <c r="BJ107" i="3"/>
  <c r="BF107" i="3"/>
  <c r="BD107" i="3"/>
  <c r="AP107" i="3"/>
  <c r="BI107" i="3" s="1"/>
  <c r="AO107" i="3"/>
  <c r="BH107" i="3" s="1"/>
  <c r="AK107" i="3"/>
  <c r="AJ107" i="3"/>
  <c r="AH107" i="3"/>
  <c r="AG107" i="3"/>
  <c r="AF107" i="3"/>
  <c r="AE107" i="3"/>
  <c r="AD107" i="3"/>
  <c r="AC107" i="3"/>
  <c r="AB107" i="3"/>
  <c r="Z107" i="3"/>
  <c r="J107" i="3"/>
  <c r="AL107" i="3" s="1"/>
  <c r="H107" i="3"/>
  <c r="BJ106" i="3"/>
  <c r="BF106" i="3"/>
  <c r="BD106" i="3"/>
  <c r="AP106" i="3"/>
  <c r="BI106" i="3" s="1"/>
  <c r="AO106" i="3"/>
  <c r="BH106" i="3" s="1"/>
  <c r="AL106" i="3"/>
  <c r="AK106" i="3"/>
  <c r="AT104" i="3" s="1"/>
  <c r="AJ106" i="3"/>
  <c r="AH106" i="3"/>
  <c r="AG106" i="3"/>
  <c r="AF106" i="3"/>
  <c r="AE106" i="3"/>
  <c r="AD106" i="3"/>
  <c r="AC106" i="3"/>
  <c r="AB106" i="3"/>
  <c r="Z106" i="3"/>
  <c r="J106" i="3"/>
  <c r="I106" i="3"/>
  <c r="H106" i="3"/>
  <c r="BJ105" i="3"/>
  <c r="BF105" i="3"/>
  <c r="BD105" i="3"/>
  <c r="AX105" i="3"/>
  <c r="AP105" i="3"/>
  <c r="BI105" i="3" s="1"/>
  <c r="AO105" i="3"/>
  <c r="AW105" i="3" s="1"/>
  <c r="AK105" i="3"/>
  <c r="AJ105" i="3"/>
  <c r="AH105" i="3"/>
  <c r="AG105" i="3"/>
  <c r="AF105" i="3"/>
  <c r="AE105" i="3"/>
  <c r="AD105" i="3"/>
  <c r="AC105" i="3"/>
  <c r="AB105" i="3"/>
  <c r="Z105" i="3"/>
  <c r="J105" i="3"/>
  <c r="I105" i="3"/>
  <c r="BJ103" i="3"/>
  <c r="Z103" i="3" s="1"/>
  <c r="BF103" i="3"/>
  <c r="BD103" i="3"/>
  <c r="AP103" i="3"/>
  <c r="BI103" i="3" s="1"/>
  <c r="AO103" i="3"/>
  <c r="BH103" i="3" s="1"/>
  <c r="AL103" i="3"/>
  <c r="AK103" i="3"/>
  <c r="AT102" i="3" s="1"/>
  <c r="AJ103" i="3"/>
  <c r="AS102" i="3" s="1"/>
  <c r="AH103" i="3"/>
  <c r="AG103" i="3"/>
  <c r="AF103" i="3"/>
  <c r="AE103" i="3"/>
  <c r="AD103" i="3"/>
  <c r="AC103" i="3"/>
  <c r="AB103" i="3"/>
  <c r="J103" i="3"/>
  <c r="I103" i="3"/>
  <c r="I102" i="3" s="1"/>
  <c r="H103" i="3"/>
  <c r="AU102" i="3"/>
  <c r="J102" i="3"/>
  <c r="H102" i="3"/>
  <c r="BJ101" i="3"/>
  <c r="BF101" i="3"/>
  <c r="BD101" i="3"/>
  <c r="AX101" i="3"/>
  <c r="AP101" i="3"/>
  <c r="BI101" i="3" s="1"/>
  <c r="AC101" i="3" s="1"/>
  <c r="AO101" i="3"/>
  <c r="BH101" i="3" s="1"/>
  <c r="AB101" i="3" s="1"/>
  <c r="AK101" i="3"/>
  <c r="AJ101" i="3"/>
  <c r="AH101" i="3"/>
  <c r="AG101" i="3"/>
  <c r="AF101" i="3"/>
  <c r="AE101" i="3"/>
  <c r="AD101" i="3"/>
  <c r="Z101" i="3"/>
  <c r="J101" i="3"/>
  <c r="AL101" i="3" s="1"/>
  <c r="I101" i="3"/>
  <c r="BJ100" i="3"/>
  <c r="BF100" i="3"/>
  <c r="BD100" i="3"/>
  <c r="AP100" i="3"/>
  <c r="BI100" i="3" s="1"/>
  <c r="AC100" i="3" s="1"/>
  <c r="AO100" i="3"/>
  <c r="BH100" i="3" s="1"/>
  <c r="AB100" i="3" s="1"/>
  <c r="AL100" i="3"/>
  <c r="AK100" i="3"/>
  <c r="AJ100" i="3"/>
  <c r="AH100" i="3"/>
  <c r="AG100" i="3"/>
  <c r="AF100" i="3"/>
  <c r="AE100" i="3"/>
  <c r="AD100" i="3"/>
  <c r="Z100" i="3"/>
  <c r="J100" i="3"/>
  <c r="I100" i="3"/>
  <c r="H100" i="3"/>
  <c r="BJ99" i="3"/>
  <c r="BF99" i="3"/>
  <c r="BD99" i="3"/>
  <c r="AP99" i="3"/>
  <c r="BI99" i="3" s="1"/>
  <c r="AC99" i="3" s="1"/>
  <c r="AO99" i="3"/>
  <c r="H99" i="3" s="1"/>
  <c r="AK99" i="3"/>
  <c r="AJ99" i="3"/>
  <c r="AH99" i="3"/>
  <c r="AG99" i="3"/>
  <c r="AF99" i="3"/>
  <c r="AE99" i="3"/>
  <c r="AD99" i="3"/>
  <c r="Z99" i="3"/>
  <c r="J99" i="3"/>
  <c r="AL99" i="3" s="1"/>
  <c r="BJ98" i="3"/>
  <c r="BF98" i="3"/>
  <c r="BD98" i="3"/>
  <c r="AW98" i="3"/>
  <c r="AP98" i="3"/>
  <c r="I98" i="3" s="1"/>
  <c r="AO98" i="3"/>
  <c r="BH98" i="3" s="1"/>
  <c r="AB98" i="3" s="1"/>
  <c r="AK98" i="3"/>
  <c r="AJ98" i="3"/>
  <c r="AH98" i="3"/>
  <c r="AG98" i="3"/>
  <c r="AF98" i="3"/>
  <c r="AE98" i="3"/>
  <c r="AD98" i="3"/>
  <c r="Z98" i="3"/>
  <c r="J98" i="3"/>
  <c r="AL98" i="3" s="1"/>
  <c r="H98" i="3"/>
  <c r="BJ97" i="3"/>
  <c r="BF97" i="3"/>
  <c r="BD97" i="3"/>
  <c r="AP97" i="3"/>
  <c r="BI97" i="3" s="1"/>
  <c r="AC97" i="3" s="1"/>
  <c r="AO97" i="3"/>
  <c r="BH97" i="3" s="1"/>
  <c r="AB97" i="3" s="1"/>
  <c r="AK97" i="3"/>
  <c r="AJ97" i="3"/>
  <c r="AH97" i="3"/>
  <c r="AG97" i="3"/>
  <c r="AF97" i="3"/>
  <c r="AE97" i="3"/>
  <c r="AD97" i="3"/>
  <c r="Z97" i="3"/>
  <c r="J97" i="3"/>
  <c r="AL97" i="3" s="1"/>
  <c r="BJ96" i="3"/>
  <c r="BF96" i="3"/>
  <c r="BD96" i="3"/>
  <c r="AP96" i="3"/>
  <c r="BI96" i="3" s="1"/>
  <c r="AC96" i="3" s="1"/>
  <c r="AO96" i="3"/>
  <c r="BH96" i="3" s="1"/>
  <c r="AB96" i="3" s="1"/>
  <c r="AL96" i="3"/>
  <c r="AK96" i="3"/>
  <c r="AJ96" i="3"/>
  <c r="AH96" i="3"/>
  <c r="AG96" i="3"/>
  <c r="AF96" i="3"/>
  <c r="AE96" i="3"/>
  <c r="AD96" i="3"/>
  <c r="Z96" i="3"/>
  <c r="J96" i="3"/>
  <c r="I96" i="3"/>
  <c r="H96" i="3"/>
  <c r="BJ95" i="3"/>
  <c r="BF95" i="3"/>
  <c r="BD95" i="3"/>
  <c r="AX95" i="3"/>
  <c r="AP95" i="3"/>
  <c r="BI95" i="3" s="1"/>
  <c r="AC95" i="3" s="1"/>
  <c r="AO95" i="3"/>
  <c r="AW95" i="3" s="1"/>
  <c r="AK95" i="3"/>
  <c r="AT94" i="3" s="1"/>
  <c r="AJ95" i="3"/>
  <c r="AH95" i="3"/>
  <c r="AG95" i="3"/>
  <c r="AF95" i="3"/>
  <c r="AE95" i="3"/>
  <c r="AD95" i="3"/>
  <c r="Z95" i="3"/>
  <c r="J95" i="3"/>
  <c r="I95" i="3"/>
  <c r="BJ92" i="3"/>
  <c r="AH92" i="3" s="1"/>
  <c r="BF92" i="3"/>
  <c r="BD92" i="3"/>
  <c r="AP92" i="3"/>
  <c r="BI92" i="3" s="1"/>
  <c r="AO92" i="3"/>
  <c r="BH92" i="3" s="1"/>
  <c r="AK92" i="3"/>
  <c r="AJ92" i="3"/>
  <c r="AG92" i="3"/>
  <c r="AF92" i="3"/>
  <c r="AE92" i="3"/>
  <c r="AD92" i="3"/>
  <c r="AC92" i="3"/>
  <c r="AB92" i="3"/>
  <c r="Z92" i="3"/>
  <c r="J92" i="3"/>
  <c r="AL92" i="3" s="1"/>
  <c r="H92" i="3"/>
  <c r="BJ91" i="3"/>
  <c r="BF91" i="3"/>
  <c r="BD91" i="3"/>
  <c r="AP91" i="3"/>
  <c r="BI91" i="3" s="1"/>
  <c r="AO91" i="3"/>
  <c r="BH91" i="3" s="1"/>
  <c r="AK91" i="3"/>
  <c r="AJ91" i="3"/>
  <c r="AH91" i="3"/>
  <c r="AG91" i="3"/>
  <c r="AF91" i="3"/>
  <c r="AE91" i="3"/>
  <c r="AD91" i="3"/>
  <c r="AC91" i="3"/>
  <c r="AB91" i="3"/>
  <c r="Z91" i="3"/>
  <c r="J91" i="3"/>
  <c r="AL91" i="3" s="1"/>
  <c r="BJ90" i="3"/>
  <c r="BF90" i="3"/>
  <c r="BD90" i="3"/>
  <c r="AX90" i="3"/>
  <c r="AP90" i="3"/>
  <c r="BI90" i="3" s="1"/>
  <c r="AO90" i="3"/>
  <c r="AW90" i="3" s="1"/>
  <c r="AK90" i="3"/>
  <c r="AJ90" i="3"/>
  <c r="AH90" i="3"/>
  <c r="AG90" i="3"/>
  <c r="AF90" i="3"/>
  <c r="AE90" i="3"/>
  <c r="AD90" i="3"/>
  <c r="AC90" i="3"/>
  <c r="AB90" i="3"/>
  <c r="Z90" i="3"/>
  <c r="J90" i="3"/>
  <c r="AL90" i="3" s="1"/>
  <c r="I90" i="3"/>
  <c r="H90" i="3"/>
  <c r="BJ89" i="3"/>
  <c r="AH89" i="3" s="1"/>
  <c r="BF89" i="3"/>
  <c r="BD89" i="3"/>
  <c r="AP89" i="3"/>
  <c r="AX89" i="3" s="1"/>
  <c r="AO89" i="3"/>
  <c r="BH89" i="3" s="1"/>
  <c r="AL89" i="3"/>
  <c r="AK89" i="3"/>
  <c r="AJ89" i="3"/>
  <c r="AG89" i="3"/>
  <c r="AF89" i="3"/>
  <c r="AE89" i="3"/>
  <c r="AD89" i="3"/>
  <c r="AC89" i="3"/>
  <c r="AB89" i="3"/>
  <c r="Z89" i="3"/>
  <c r="J89" i="3"/>
  <c r="I89" i="3"/>
  <c r="H89" i="3"/>
  <c r="BJ88" i="3"/>
  <c r="AH88" i="3" s="1"/>
  <c r="BF88" i="3"/>
  <c r="BD88" i="3"/>
  <c r="AX88" i="3"/>
  <c r="AP88" i="3"/>
  <c r="BI88" i="3" s="1"/>
  <c r="AO88" i="3"/>
  <c r="BH88" i="3" s="1"/>
  <c r="AK88" i="3"/>
  <c r="AJ88" i="3"/>
  <c r="AG88" i="3"/>
  <c r="AF88" i="3"/>
  <c r="AE88" i="3"/>
  <c r="AD88" i="3"/>
  <c r="AC88" i="3"/>
  <c r="AB88" i="3"/>
  <c r="Z88" i="3"/>
  <c r="J88" i="3"/>
  <c r="AL88" i="3" s="1"/>
  <c r="I88" i="3"/>
  <c r="H88" i="3"/>
  <c r="BJ86" i="3"/>
  <c r="BF86" i="3"/>
  <c r="BD86" i="3"/>
  <c r="AW86" i="3"/>
  <c r="AP86" i="3"/>
  <c r="BI86" i="3" s="1"/>
  <c r="AO86" i="3"/>
  <c r="BH86" i="3" s="1"/>
  <c r="AK86" i="3"/>
  <c r="AJ86" i="3"/>
  <c r="AH86" i="3"/>
  <c r="AG86" i="3"/>
  <c r="AF86" i="3"/>
  <c r="AE86" i="3"/>
  <c r="AD86" i="3"/>
  <c r="AC86" i="3"/>
  <c r="AB86" i="3"/>
  <c r="Z86" i="3"/>
  <c r="J86" i="3"/>
  <c r="AL86" i="3" s="1"/>
  <c r="BJ84" i="3"/>
  <c r="AH84" i="3" s="1"/>
  <c r="BF84" i="3"/>
  <c r="BD84" i="3"/>
  <c r="AX84" i="3"/>
  <c r="AP84" i="3"/>
  <c r="BI84" i="3" s="1"/>
  <c r="AO84" i="3"/>
  <c r="AW84" i="3" s="1"/>
  <c r="AK84" i="3"/>
  <c r="AJ84" i="3"/>
  <c r="AG84" i="3"/>
  <c r="AF84" i="3"/>
  <c r="AE84" i="3"/>
  <c r="AD84" i="3"/>
  <c r="AC84" i="3"/>
  <c r="AB84" i="3"/>
  <c r="Z84" i="3"/>
  <c r="J84" i="3"/>
  <c r="AL84" i="3" s="1"/>
  <c r="I84" i="3"/>
  <c r="BJ82" i="3"/>
  <c r="AH82" i="3" s="1"/>
  <c r="BF82" i="3"/>
  <c r="BD82" i="3"/>
  <c r="AP82" i="3"/>
  <c r="AX82" i="3" s="1"/>
  <c r="AO82" i="3"/>
  <c r="BH82" i="3" s="1"/>
  <c r="AK82" i="3"/>
  <c r="AJ82" i="3"/>
  <c r="AG82" i="3"/>
  <c r="AF82" i="3"/>
  <c r="AE82" i="3"/>
  <c r="AD82" i="3"/>
  <c r="AC82" i="3"/>
  <c r="AB82" i="3"/>
  <c r="Z82" i="3"/>
  <c r="J82" i="3"/>
  <c r="AL82" i="3" s="1"/>
  <c r="I82" i="3"/>
  <c r="H82" i="3"/>
  <c r="BJ80" i="3"/>
  <c r="AH80" i="3" s="1"/>
  <c r="BF80" i="3"/>
  <c r="BD80" i="3"/>
  <c r="AP80" i="3"/>
  <c r="BI80" i="3" s="1"/>
  <c r="AO80" i="3"/>
  <c r="BH80" i="3" s="1"/>
  <c r="AK80" i="3"/>
  <c r="AJ80" i="3"/>
  <c r="AG80" i="3"/>
  <c r="AF80" i="3"/>
  <c r="AE80" i="3"/>
  <c r="AD80" i="3"/>
  <c r="AC80" i="3"/>
  <c r="AB80" i="3"/>
  <c r="Z80" i="3"/>
  <c r="J80" i="3"/>
  <c r="AL80" i="3" s="1"/>
  <c r="H80" i="3"/>
  <c r="BJ78" i="3"/>
  <c r="BF78" i="3"/>
  <c r="BD78" i="3"/>
  <c r="AP78" i="3"/>
  <c r="BI78" i="3" s="1"/>
  <c r="AO78" i="3"/>
  <c r="BH78" i="3" s="1"/>
  <c r="AK78" i="3"/>
  <c r="AJ78" i="3"/>
  <c r="AH78" i="3"/>
  <c r="AG78" i="3"/>
  <c r="AF78" i="3"/>
  <c r="AE78" i="3"/>
  <c r="AD78" i="3"/>
  <c r="AC78" i="3"/>
  <c r="AB78" i="3"/>
  <c r="Z78" i="3"/>
  <c r="J78" i="3"/>
  <c r="AL78" i="3" s="1"/>
  <c r="BJ77" i="3"/>
  <c r="BF77" i="3"/>
  <c r="BD77" i="3"/>
  <c r="AX77" i="3"/>
  <c r="AP77" i="3"/>
  <c r="BI77" i="3" s="1"/>
  <c r="AO77" i="3"/>
  <c r="AW77" i="3" s="1"/>
  <c r="AK77" i="3"/>
  <c r="AJ77" i="3"/>
  <c r="AH77" i="3"/>
  <c r="AG77" i="3"/>
  <c r="AF77" i="3"/>
  <c r="AE77" i="3"/>
  <c r="AD77" i="3"/>
  <c r="AC77" i="3"/>
  <c r="AB77" i="3"/>
  <c r="Z77" i="3"/>
  <c r="J77" i="3"/>
  <c r="AL77" i="3" s="1"/>
  <c r="I77" i="3"/>
  <c r="H77" i="3"/>
  <c r="BJ76" i="3"/>
  <c r="AH76" i="3" s="1"/>
  <c r="BF76" i="3"/>
  <c r="BD76" i="3"/>
  <c r="AP76" i="3"/>
  <c r="AX76" i="3" s="1"/>
  <c r="AO76" i="3"/>
  <c r="BH76" i="3" s="1"/>
  <c r="AL76" i="3"/>
  <c r="AK76" i="3"/>
  <c r="AJ76" i="3"/>
  <c r="AS73" i="3" s="1"/>
  <c r="AG76" i="3"/>
  <c r="AF76" i="3"/>
  <c r="AE76" i="3"/>
  <c r="AD76" i="3"/>
  <c r="AC76" i="3"/>
  <c r="AB76" i="3"/>
  <c r="Z76" i="3"/>
  <c r="J76" i="3"/>
  <c r="I76" i="3"/>
  <c r="H76" i="3"/>
  <c r="BJ75" i="3"/>
  <c r="AH75" i="3" s="1"/>
  <c r="BF75" i="3"/>
  <c r="BD75" i="3"/>
  <c r="AX75" i="3"/>
  <c r="AP75" i="3"/>
  <c r="BI75" i="3" s="1"/>
  <c r="AO75" i="3"/>
  <c r="BH75" i="3" s="1"/>
  <c r="AK75" i="3"/>
  <c r="AT73" i="3" s="1"/>
  <c r="AJ75" i="3"/>
  <c r="AG75" i="3"/>
  <c r="AF75" i="3"/>
  <c r="AE75" i="3"/>
  <c r="AD75" i="3"/>
  <c r="AC75" i="3"/>
  <c r="AB75" i="3"/>
  <c r="Z75" i="3"/>
  <c r="J75" i="3"/>
  <c r="AL75" i="3" s="1"/>
  <c r="I75" i="3"/>
  <c r="H75" i="3"/>
  <c r="BJ74" i="3"/>
  <c r="BF74" i="3"/>
  <c r="BD74" i="3"/>
  <c r="AP74" i="3"/>
  <c r="BI74" i="3" s="1"/>
  <c r="AO74" i="3"/>
  <c r="BH74" i="3" s="1"/>
  <c r="AK74" i="3"/>
  <c r="AJ74" i="3"/>
  <c r="AH74" i="3"/>
  <c r="AG74" i="3"/>
  <c r="AF74" i="3"/>
  <c r="AE74" i="3"/>
  <c r="AD74" i="3"/>
  <c r="AC74" i="3"/>
  <c r="AB74" i="3"/>
  <c r="Z74" i="3"/>
  <c r="J74" i="3"/>
  <c r="AL74" i="3" s="1"/>
  <c r="BJ72" i="3"/>
  <c r="Z72" i="3" s="1"/>
  <c r="BF72" i="3"/>
  <c r="BD72" i="3"/>
  <c r="AP72" i="3"/>
  <c r="BI72" i="3" s="1"/>
  <c r="AO72" i="3"/>
  <c r="BH72" i="3" s="1"/>
  <c r="AK72" i="3"/>
  <c r="AT71" i="3" s="1"/>
  <c r="AJ72" i="3"/>
  <c r="AH72" i="3"/>
  <c r="AG72" i="3"/>
  <c r="AF72" i="3"/>
  <c r="AE72" i="3"/>
  <c r="AD72" i="3"/>
  <c r="AC72" i="3"/>
  <c r="AB72" i="3"/>
  <c r="J72" i="3"/>
  <c r="AL72" i="3" s="1"/>
  <c r="AU71" i="3" s="1"/>
  <c r="I72" i="3"/>
  <c r="I71" i="3" s="1"/>
  <c r="H72" i="3"/>
  <c r="H71" i="3" s="1"/>
  <c r="AS71" i="3"/>
  <c r="J71" i="3"/>
  <c r="BJ70" i="3"/>
  <c r="BF70" i="3"/>
  <c r="BD70" i="3"/>
  <c r="AP70" i="3"/>
  <c r="AX70" i="3" s="1"/>
  <c r="AO70" i="3"/>
  <c r="BH70" i="3" s="1"/>
  <c r="AB70" i="3" s="1"/>
  <c r="AL70" i="3"/>
  <c r="AK70" i="3"/>
  <c r="AJ70" i="3"/>
  <c r="AH70" i="3"/>
  <c r="AG70" i="3"/>
  <c r="AF70" i="3"/>
  <c r="AE70" i="3"/>
  <c r="AD70" i="3"/>
  <c r="Z70" i="3"/>
  <c r="J70" i="3"/>
  <c r="I70" i="3"/>
  <c r="H70" i="3"/>
  <c r="BJ69" i="3"/>
  <c r="BF69" i="3"/>
  <c r="BD69" i="3"/>
  <c r="AP69" i="3"/>
  <c r="BI69" i="3" s="1"/>
  <c r="AC69" i="3" s="1"/>
  <c r="AO69" i="3"/>
  <c r="BH69" i="3" s="1"/>
  <c r="AB69" i="3" s="1"/>
  <c r="AK69" i="3"/>
  <c r="AJ69" i="3"/>
  <c r="AH69" i="3"/>
  <c r="AG69" i="3"/>
  <c r="AF69" i="3"/>
  <c r="AE69" i="3"/>
  <c r="AD69" i="3"/>
  <c r="Z69" i="3"/>
  <c r="J69" i="3"/>
  <c r="AL69" i="3" s="1"/>
  <c r="H69" i="3"/>
  <c r="BJ68" i="3"/>
  <c r="BF68" i="3"/>
  <c r="BD68" i="3"/>
  <c r="AP68" i="3"/>
  <c r="BI68" i="3" s="1"/>
  <c r="AC68" i="3" s="1"/>
  <c r="AO68" i="3"/>
  <c r="BH68" i="3" s="1"/>
  <c r="AB68" i="3" s="1"/>
  <c r="AL68" i="3"/>
  <c r="AK68" i="3"/>
  <c r="AJ68" i="3"/>
  <c r="AH68" i="3"/>
  <c r="AG68" i="3"/>
  <c r="AF68" i="3"/>
  <c r="AE68" i="3"/>
  <c r="AD68" i="3"/>
  <c r="Z68" i="3"/>
  <c r="J68" i="3"/>
  <c r="I68" i="3"/>
  <c r="H68" i="3"/>
  <c r="BJ67" i="3"/>
  <c r="BF67" i="3"/>
  <c r="BD67" i="3"/>
  <c r="AX67" i="3"/>
  <c r="AP67" i="3"/>
  <c r="BI67" i="3" s="1"/>
  <c r="AC67" i="3" s="1"/>
  <c r="AO67" i="3"/>
  <c r="AW67" i="3" s="1"/>
  <c r="AK67" i="3"/>
  <c r="AJ67" i="3"/>
  <c r="AH67" i="3"/>
  <c r="AG67" i="3"/>
  <c r="AF67" i="3"/>
  <c r="AE67" i="3"/>
  <c r="AD67" i="3"/>
  <c r="Z67" i="3"/>
  <c r="J67" i="3"/>
  <c r="AL67" i="3" s="1"/>
  <c r="I67" i="3"/>
  <c r="BJ66" i="3"/>
  <c r="BF66" i="3"/>
  <c r="BD66" i="3"/>
  <c r="AP66" i="3"/>
  <c r="AX66" i="3" s="1"/>
  <c r="AO66" i="3"/>
  <c r="BH66" i="3" s="1"/>
  <c r="AB66" i="3" s="1"/>
  <c r="AL66" i="3"/>
  <c r="AK66" i="3"/>
  <c r="AJ66" i="3"/>
  <c r="AH66" i="3"/>
  <c r="AG66" i="3"/>
  <c r="AF66" i="3"/>
  <c r="AE66" i="3"/>
  <c r="AD66" i="3"/>
  <c r="Z66" i="3"/>
  <c r="J66" i="3"/>
  <c r="I66" i="3"/>
  <c r="H66" i="3"/>
  <c r="BJ65" i="3"/>
  <c r="BH65" i="3"/>
  <c r="AB65" i="3" s="1"/>
  <c r="BF65" i="3"/>
  <c r="BD65" i="3"/>
  <c r="AP65" i="3"/>
  <c r="BI65" i="3" s="1"/>
  <c r="AC65" i="3" s="1"/>
  <c r="AO65" i="3"/>
  <c r="AW65" i="3" s="1"/>
  <c r="AK65" i="3"/>
  <c r="AJ65" i="3"/>
  <c r="AH65" i="3"/>
  <c r="AG65" i="3"/>
  <c r="AF65" i="3"/>
  <c r="AE65" i="3"/>
  <c r="AD65" i="3"/>
  <c r="Z65" i="3"/>
  <c r="J65" i="3"/>
  <c r="AL65" i="3" s="1"/>
  <c r="H65" i="3"/>
  <c r="BJ64" i="3"/>
  <c r="BF64" i="3"/>
  <c r="BD64" i="3"/>
  <c r="AP64" i="3"/>
  <c r="AX64" i="3" s="1"/>
  <c r="AO64" i="3"/>
  <c r="BH64" i="3" s="1"/>
  <c r="AB64" i="3" s="1"/>
  <c r="AL64" i="3"/>
  <c r="AK64" i="3"/>
  <c r="AJ64" i="3"/>
  <c r="AH64" i="3"/>
  <c r="AG64" i="3"/>
  <c r="AF64" i="3"/>
  <c r="AE64" i="3"/>
  <c r="AD64" i="3"/>
  <c r="Z64" i="3"/>
  <c r="J64" i="3"/>
  <c r="H64" i="3"/>
  <c r="BJ63" i="3"/>
  <c r="BH63" i="3"/>
  <c r="AB63" i="3" s="1"/>
  <c r="BF63" i="3"/>
  <c r="BD63" i="3"/>
  <c r="AP63" i="3"/>
  <c r="BI63" i="3" s="1"/>
  <c r="AC63" i="3" s="1"/>
  <c r="AO63" i="3"/>
  <c r="AW63" i="3" s="1"/>
  <c r="AK63" i="3"/>
  <c r="AJ63" i="3"/>
  <c r="AH63" i="3"/>
  <c r="AG63" i="3"/>
  <c r="AF63" i="3"/>
  <c r="AE63" i="3"/>
  <c r="AD63" i="3"/>
  <c r="Z63" i="3"/>
  <c r="J63" i="3"/>
  <c r="AL63" i="3" s="1"/>
  <c r="H63" i="3"/>
  <c r="BJ62" i="3"/>
  <c r="BI62" i="3"/>
  <c r="AC62" i="3" s="1"/>
  <c r="BF62" i="3"/>
  <c r="BD62" i="3"/>
  <c r="AP62" i="3"/>
  <c r="AX62" i="3" s="1"/>
  <c r="AO62" i="3"/>
  <c r="BH62" i="3" s="1"/>
  <c r="AB62" i="3" s="1"/>
  <c r="AL62" i="3"/>
  <c r="AK62" i="3"/>
  <c r="AJ62" i="3"/>
  <c r="AH62" i="3"/>
  <c r="AG62" i="3"/>
  <c r="AF62" i="3"/>
  <c r="AE62" i="3"/>
  <c r="AD62" i="3"/>
  <c r="Z62" i="3"/>
  <c r="J62" i="3"/>
  <c r="I62" i="3"/>
  <c r="H62" i="3"/>
  <c r="BJ61" i="3"/>
  <c r="BF61" i="3"/>
  <c r="BD61" i="3"/>
  <c r="AX61" i="3"/>
  <c r="AP61" i="3"/>
  <c r="BI61" i="3" s="1"/>
  <c r="AC61" i="3" s="1"/>
  <c r="AO61" i="3"/>
  <c r="AW61" i="3" s="1"/>
  <c r="BC61" i="3" s="1"/>
  <c r="AK61" i="3"/>
  <c r="AJ61" i="3"/>
  <c r="AH61" i="3"/>
  <c r="AG61" i="3"/>
  <c r="AF61" i="3"/>
  <c r="AE61" i="3"/>
  <c r="AD61" i="3"/>
  <c r="Z61" i="3"/>
  <c r="J61" i="3"/>
  <c r="AL61" i="3" s="1"/>
  <c r="I61" i="3"/>
  <c r="BJ60" i="3"/>
  <c r="BF60" i="3"/>
  <c r="BD60" i="3"/>
  <c r="AP60" i="3"/>
  <c r="AX60" i="3" s="1"/>
  <c r="AO60" i="3"/>
  <c r="H60" i="3" s="1"/>
  <c r="AK60" i="3"/>
  <c r="AJ60" i="3"/>
  <c r="AH60" i="3"/>
  <c r="AG60" i="3"/>
  <c r="AF60" i="3"/>
  <c r="AE60" i="3"/>
  <c r="AD60" i="3"/>
  <c r="Z60" i="3"/>
  <c r="J60" i="3"/>
  <c r="AL60" i="3" s="1"/>
  <c r="AU57" i="3" s="1"/>
  <c r="I60" i="3"/>
  <c r="BJ59" i="3"/>
  <c r="BF59" i="3"/>
  <c r="BD59" i="3"/>
  <c r="AP59" i="3"/>
  <c r="I59" i="3" s="1"/>
  <c r="AO59" i="3"/>
  <c r="AW59" i="3" s="1"/>
  <c r="AK59" i="3"/>
  <c r="AJ59" i="3"/>
  <c r="AH59" i="3"/>
  <c r="AG59" i="3"/>
  <c r="AF59" i="3"/>
  <c r="AE59" i="3"/>
  <c r="AD59" i="3"/>
  <c r="Z59" i="3"/>
  <c r="J59" i="3"/>
  <c r="AL59" i="3" s="1"/>
  <c r="BJ58" i="3"/>
  <c r="BF58" i="3"/>
  <c r="BD58" i="3"/>
  <c r="AP58" i="3"/>
  <c r="AX58" i="3" s="1"/>
  <c r="AO58" i="3"/>
  <c r="BH58" i="3" s="1"/>
  <c r="AL58" i="3"/>
  <c r="AK58" i="3"/>
  <c r="AJ58" i="3"/>
  <c r="AS57" i="3" s="1"/>
  <c r="AH58" i="3"/>
  <c r="AG58" i="3"/>
  <c r="AF58" i="3"/>
  <c r="AE58" i="3"/>
  <c r="AD58" i="3"/>
  <c r="AB58" i="3"/>
  <c r="Z58" i="3"/>
  <c r="J58" i="3"/>
  <c r="H58" i="3"/>
  <c r="J57" i="3"/>
  <c r="BJ56" i="3"/>
  <c r="BF56" i="3"/>
  <c r="BD56" i="3"/>
  <c r="AP56" i="3"/>
  <c r="BI56" i="3" s="1"/>
  <c r="AC56" i="3" s="1"/>
  <c r="AO56" i="3"/>
  <c r="BH56" i="3" s="1"/>
  <c r="AB56" i="3" s="1"/>
  <c r="AK56" i="3"/>
  <c r="AT55" i="3" s="1"/>
  <c r="AJ56" i="3"/>
  <c r="AS55" i="3" s="1"/>
  <c r="AH56" i="3"/>
  <c r="AG56" i="3"/>
  <c r="AF56" i="3"/>
  <c r="AE56" i="3"/>
  <c r="AD56" i="3"/>
  <c r="Z56" i="3"/>
  <c r="J56" i="3"/>
  <c r="J55" i="3" s="1"/>
  <c r="BJ53" i="3"/>
  <c r="BF53" i="3"/>
  <c r="BD53" i="3"/>
  <c r="AP53" i="3"/>
  <c r="BI53" i="3" s="1"/>
  <c r="AC53" i="3" s="1"/>
  <c r="AO53" i="3"/>
  <c r="BH53" i="3" s="1"/>
  <c r="AB53" i="3" s="1"/>
  <c r="AL53" i="3"/>
  <c r="AK53" i="3"/>
  <c r="AJ53" i="3"/>
  <c r="AH53" i="3"/>
  <c r="AG53" i="3"/>
  <c r="AF53" i="3"/>
  <c r="AE53" i="3"/>
  <c r="AD53" i="3"/>
  <c r="Z53" i="3"/>
  <c r="J53" i="3"/>
  <c r="I53" i="3"/>
  <c r="BJ52" i="3"/>
  <c r="BF52" i="3"/>
  <c r="BD52" i="3"/>
  <c r="AP52" i="3"/>
  <c r="BI52" i="3" s="1"/>
  <c r="AC52" i="3" s="1"/>
  <c r="AO52" i="3"/>
  <c r="BH52" i="3" s="1"/>
  <c r="AB52" i="3" s="1"/>
  <c r="AK52" i="3"/>
  <c r="AJ52" i="3"/>
  <c r="AH52" i="3"/>
  <c r="AG52" i="3"/>
  <c r="AF52" i="3"/>
  <c r="AE52" i="3"/>
  <c r="AD52" i="3"/>
  <c r="Z52" i="3"/>
  <c r="J52" i="3"/>
  <c r="AL52" i="3" s="1"/>
  <c r="I52" i="3"/>
  <c r="BJ51" i="3"/>
  <c r="BF51" i="3"/>
  <c r="BD51" i="3"/>
  <c r="AP51" i="3"/>
  <c r="BI51" i="3" s="1"/>
  <c r="AC51" i="3" s="1"/>
  <c r="AO51" i="3"/>
  <c r="BH51" i="3" s="1"/>
  <c r="AB51" i="3" s="1"/>
  <c r="AK51" i="3"/>
  <c r="AJ51" i="3"/>
  <c r="AH51" i="3"/>
  <c r="AG51" i="3"/>
  <c r="AF51" i="3"/>
  <c r="AE51" i="3"/>
  <c r="AD51" i="3"/>
  <c r="Z51" i="3"/>
  <c r="J51" i="3"/>
  <c r="AL51" i="3" s="1"/>
  <c r="BJ50" i="3"/>
  <c r="BF50" i="3"/>
  <c r="BD50" i="3"/>
  <c r="AP50" i="3"/>
  <c r="BI50" i="3" s="1"/>
  <c r="AC50" i="3" s="1"/>
  <c r="AO50" i="3"/>
  <c r="AW50" i="3" s="1"/>
  <c r="AK50" i="3"/>
  <c r="AJ50" i="3"/>
  <c r="AH50" i="3"/>
  <c r="AG50" i="3"/>
  <c r="AF50" i="3"/>
  <c r="AE50" i="3"/>
  <c r="AD50" i="3"/>
  <c r="Z50" i="3"/>
  <c r="J50" i="3"/>
  <c r="AL50" i="3" s="1"/>
  <c r="H50" i="3"/>
  <c r="BJ49" i="3"/>
  <c r="BF49" i="3"/>
  <c r="BD49" i="3"/>
  <c r="AP49" i="3"/>
  <c r="AX49" i="3" s="1"/>
  <c r="AO49" i="3"/>
  <c r="BH49" i="3" s="1"/>
  <c r="AB49" i="3" s="1"/>
  <c r="AL49" i="3"/>
  <c r="AK49" i="3"/>
  <c r="AJ49" i="3"/>
  <c r="AH49" i="3"/>
  <c r="AG49" i="3"/>
  <c r="AF49" i="3"/>
  <c r="AE49" i="3"/>
  <c r="C17" i="1" s="1"/>
  <c r="AD49" i="3"/>
  <c r="Z49" i="3"/>
  <c r="J49" i="3"/>
  <c r="I49" i="3"/>
  <c r="H49" i="3"/>
  <c r="BJ48" i="3"/>
  <c r="BF48" i="3"/>
  <c r="BD48" i="3"/>
  <c r="AP48" i="3"/>
  <c r="BI48" i="3" s="1"/>
  <c r="AC48" i="3" s="1"/>
  <c r="AO48" i="3"/>
  <c r="AW48" i="3" s="1"/>
  <c r="AK48" i="3"/>
  <c r="AT45" i="3" s="1"/>
  <c r="AJ48" i="3"/>
  <c r="AH48" i="3"/>
  <c r="AG48" i="3"/>
  <c r="AF48" i="3"/>
  <c r="AE48" i="3"/>
  <c r="AD48" i="3"/>
  <c r="Z48" i="3"/>
  <c r="J48" i="3"/>
  <c r="AL48" i="3" s="1"/>
  <c r="BJ46" i="3"/>
  <c r="BF46" i="3"/>
  <c r="BD46" i="3"/>
  <c r="AP46" i="3"/>
  <c r="AX46" i="3" s="1"/>
  <c r="AO46" i="3"/>
  <c r="BH46" i="3" s="1"/>
  <c r="AB46" i="3" s="1"/>
  <c r="AK46" i="3"/>
  <c r="AJ46" i="3"/>
  <c r="AS45" i="3" s="1"/>
  <c r="AH46" i="3"/>
  <c r="AG46" i="3"/>
  <c r="AF46" i="3"/>
  <c r="AE46" i="3"/>
  <c r="AD46" i="3"/>
  <c r="Z46" i="3"/>
  <c r="J46" i="3"/>
  <c r="J45" i="3" s="1"/>
  <c r="J44" i="3" s="1"/>
  <c r="BJ42" i="3"/>
  <c r="BF42" i="3"/>
  <c r="BD42" i="3"/>
  <c r="AP42" i="3"/>
  <c r="AX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I42" i="3"/>
  <c r="H42" i="3"/>
  <c r="BJ40" i="3"/>
  <c r="BF40" i="3"/>
  <c r="BD40" i="3"/>
  <c r="AW40" i="3"/>
  <c r="AP40" i="3"/>
  <c r="BI40" i="3" s="1"/>
  <c r="AC40" i="3" s="1"/>
  <c r="AO40" i="3"/>
  <c r="BH40" i="3" s="1"/>
  <c r="AB40" i="3" s="1"/>
  <c r="AK40" i="3"/>
  <c r="AJ40" i="3"/>
  <c r="AH40" i="3"/>
  <c r="AG40" i="3"/>
  <c r="AF40" i="3"/>
  <c r="AE40" i="3"/>
  <c r="AD40" i="3"/>
  <c r="Z40" i="3"/>
  <c r="J40" i="3"/>
  <c r="AL40" i="3" s="1"/>
  <c r="BJ38" i="3"/>
  <c r="BF38" i="3"/>
  <c r="BD38" i="3"/>
  <c r="AP38" i="3"/>
  <c r="BI38" i="3" s="1"/>
  <c r="AC38" i="3" s="1"/>
  <c r="AO38" i="3"/>
  <c r="BH38" i="3" s="1"/>
  <c r="AB38" i="3" s="1"/>
  <c r="AK38" i="3"/>
  <c r="AJ38" i="3"/>
  <c r="AH38" i="3"/>
  <c r="AG38" i="3"/>
  <c r="AF38" i="3"/>
  <c r="AE38" i="3"/>
  <c r="AD38" i="3"/>
  <c r="Z38" i="3"/>
  <c r="J38" i="3"/>
  <c r="AL38" i="3" s="1"/>
  <c r="BJ36" i="3"/>
  <c r="BF36" i="3"/>
  <c r="BD36" i="3"/>
  <c r="AP36" i="3"/>
  <c r="BI36" i="3" s="1"/>
  <c r="AC36" i="3" s="1"/>
  <c r="AO36" i="3"/>
  <c r="AW36" i="3" s="1"/>
  <c r="AK36" i="3"/>
  <c r="AJ36" i="3"/>
  <c r="AH36" i="3"/>
  <c r="AG36" i="3"/>
  <c r="AF36" i="3"/>
  <c r="AE36" i="3"/>
  <c r="AD36" i="3"/>
  <c r="Z36" i="3"/>
  <c r="J36" i="3"/>
  <c r="AL36" i="3" s="1"/>
  <c r="H36" i="3"/>
  <c r="BJ34" i="3"/>
  <c r="BF34" i="3"/>
  <c r="BD34" i="3"/>
  <c r="AP34" i="3"/>
  <c r="AX34" i="3" s="1"/>
  <c r="AO34" i="3"/>
  <c r="BH34" i="3" s="1"/>
  <c r="AB34" i="3" s="1"/>
  <c r="AL34" i="3"/>
  <c r="AK34" i="3"/>
  <c r="AJ34" i="3"/>
  <c r="AH34" i="3"/>
  <c r="AG34" i="3"/>
  <c r="AF34" i="3"/>
  <c r="AE34" i="3"/>
  <c r="AD34" i="3"/>
  <c r="Z34" i="3"/>
  <c r="J34" i="3"/>
  <c r="I34" i="3"/>
  <c r="H34" i="3"/>
  <c r="BJ32" i="3"/>
  <c r="BF32" i="3"/>
  <c r="BD32" i="3"/>
  <c r="AP32" i="3"/>
  <c r="BI32" i="3" s="1"/>
  <c r="AC32" i="3" s="1"/>
  <c r="AO32" i="3"/>
  <c r="AW32" i="3" s="1"/>
  <c r="AK32" i="3"/>
  <c r="AJ32" i="3"/>
  <c r="AH32" i="3"/>
  <c r="AG32" i="3"/>
  <c r="AF32" i="3"/>
  <c r="AE32" i="3"/>
  <c r="AD32" i="3"/>
  <c r="Z32" i="3"/>
  <c r="J32" i="3"/>
  <c r="AL32" i="3" s="1"/>
  <c r="BJ30" i="3"/>
  <c r="BF30" i="3"/>
  <c r="BD30" i="3"/>
  <c r="AP30" i="3"/>
  <c r="AX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8" i="3"/>
  <c r="BF28" i="3"/>
  <c r="BD28" i="3"/>
  <c r="AP28" i="3"/>
  <c r="BI28" i="3" s="1"/>
  <c r="AC28" i="3" s="1"/>
  <c r="AO28" i="3"/>
  <c r="BH28" i="3" s="1"/>
  <c r="AB28" i="3" s="1"/>
  <c r="AK28" i="3"/>
  <c r="AJ28" i="3"/>
  <c r="AH28" i="3"/>
  <c r="AG28" i="3"/>
  <c r="AF28" i="3"/>
  <c r="AE28" i="3"/>
  <c r="AD28" i="3"/>
  <c r="Z28" i="3"/>
  <c r="J28" i="3"/>
  <c r="AL28" i="3" s="1"/>
  <c r="BJ26" i="3"/>
  <c r="BF26" i="3"/>
  <c r="BD26" i="3"/>
  <c r="AP26" i="3"/>
  <c r="AX26" i="3" s="1"/>
  <c r="AO26" i="3"/>
  <c r="BH26" i="3" s="1"/>
  <c r="AB26" i="3" s="1"/>
  <c r="AL26" i="3"/>
  <c r="AK26" i="3"/>
  <c r="AJ26" i="3"/>
  <c r="AH26" i="3"/>
  <c r="AG26" i="3"/>
  <c r="AF26" i="3"/>
  <c r="AE26" i="3"/>
  <c r="AD26" i="3"/>
  <c r="Z26" i="3"/>
  <c r="J26" i="3"/>
  <c r="I26" i="3"/>
  <c r="H26" i="3"/>
  <c r="BJ24" i="3"/>
  <c r="BF24" i="3"/>
  <c r="BD24" i="3"/>
  <c r="AP24" i="3"/>
  <c r="BI24" i="3" s="1"/>
  <c r="AC24" i="3" s="1"/>
  <c r="AO24" i="3"/>
  <c r="AW24" i="3" s="1"/>
  <c r="AK24" i="3"/>
  <c r="AJ24" i="3"/>
  <c r="AH24" i="3"/>
  <c r="AG24" i="3"/>
  <c r="AF24" i="3"/>
  <c r="AE24" i="3"/>
  <c r="AD24" i="3"/>
  <c r="Z24" i="3"/>
  <c r="J24" i="3"/>
  <c r="AL24" i="3" s="1"/>
  <c r="BJ22" i="3"/>
  <c r="BF22" i="3"/>
  <c r="BD22" i="3"/>
  <c r="AP22" i="3"/>
  <c r="AX22" i="3" s="1"/>
  <c r="AO22" i="3"/>
  <c r="BH22" i="3" s="1"/>
  <c r="AB22" i="3" s="1"/>
  <c r="AK22" i="3"/>
  <c r="AJ22" i="3"/>
  <c r="AH22" i="3"/>
  <c r="AG22" i="3"/>
  <c r="AF22" i="3"/>
  <c r="AE22" i="3"/>
  <c r="AD22" i="3"/>
  <c r="Z22" i="3"/>
  <c r="J22" i="3"/>
  <c r="AL22" i="3" s="1"/>
  <c r="BJ20" i="3"/>
  <c r="BF20" i="3"/>
  <c r="BD20" i="3"/>
  <c r="AP20" i="3"/>
  <c r="BI20" i="3" s="1"/>
  <c r="AC20" i="3" s="1"/>
  <c r="AO20" i="3"/>
  <c r="AW20" i="3" s="1"/>
  <c r="AK20" i="3"/>
  <c r="AJ20" i="3"/>
  <c r="AH20" i="3"/>
  <c r="AG20" i="3"/>
  <c r="AF20" i="3"/>
  <c r="AE20" i="3"/>
  <c r="AD20" i="3"/>
  <c r="Z20" i="3"/>
  <c r="J20" i="3"/>
  <c r="AL20" i="3" s="1"/>
  <c r="H20" i="3"/>
  <c r="BJ18" i="3"/>
  <c r="BF18" i="3"/>
  <c r="BD18" i="3"/>
  <c r="AP18" i="3"/>
  <c r="AX18" i="3" s="1"/>
  <c r="AO18" i="3"/>
  <c r="BH18" i="3" s="1"/>
  <c r="AB18" i="3" s="1"/>
  <c r="AK18" i="3"/>
  <c r="AJ18" i="3"/>
  <c r="AH18" i="3"/>
  <c r="C20" i="1" s="1"/>
  <c r="AG18" i="3"/>
  <c r="AF18" i="3"/>
  <c r="C18" i="1" s="1"/>
  <c r="AE18" i="3"/>
  <c r="AD18" i="3"/>
  <c r="Z18" i="3"/>
  <c r="J18" i="3"/>
  <c r="AL18" i="3" s="1"/>
  <c r="I18" i="3"/>
  <c r="H18" i="3"/>
  <c r="BJ16" i="3"/>
  <c r="BF16" i="3"/>
  <c r="BD16" i="3"/>
  <c r="AP16" i="3"/>
  <c r="BI16" i="3" s="1"/>
  <c r="AC16" i="3" s="1"/>
  <c r="AO16" i="3"/>
  <c r="AW16" i="3" s="1"/>
  <c r="AK16" i="3"/>
  <c r="AJ16" i="3"/>
  <c r="AH16" i="3"/>
  <c r="AG16" i="3"/>
  <c r="C19" i="1" s="1"/>
  <c r="AF16" i="3"/>
  <c r="AE16" i="3"/>
  <c r="AD16" i="3"/>
  <c r="Z16" i="3"/>
  <c r="J16" i="3"/>
  <c r="AL16" i="3" s="1"/>
  <c r="BJ14" i="3"/>
  <c r="BF14" i="3"/>
  <c r="BD14" i="3"/>
  <c r="AP14" i="3"/>
  <c r="AX14" i="3" s="1"/>
  <c r="AO14" i="3"/>
  <c r="BH14" i="3" s="1"/>
  <c r="AB14" i="3" s="1"/>
  <c r="AK14" i="3"/>
  <c r="AT13" i="3" s="1"/>
  <c r="AJ14" i="3"/>
  <c r="AH14" i="3"/>
  <c r="AG14" i="3"/>
  <c r="AF14" i="3"/>
  <c r="AE14" i="3"/>
  <c r="AD14" i="3"/>
  <c r="C16" i="1" s="1"/>
  <c r="Z14" i="3"/>
  <c r="C21" i="1" s="1"/>
  <c r="J14" i="3"/>
  <c r="J13" i="3" s="1"/>
  <c r="AU1" i="3"/>
  <c r="AT1" i="3"/>
  <c r="AS1" i="3"/>
  <c r="I35" i="2"/>
  <c r="I36" i="2" s="1"/>
  <c r="I24" i="1" s="1"/>
  <c r="I26" i="2"/>
  <c r="I25" i="2"/>
  <c r="I24" i="2"/>
  <c r="I23" i="2"/>
  <c r="I22" i="2"/>
  <c r="I15" i="1" s="1"/>
  <c r="I21" i="2"/>
  <c r="I27" i="2" s="1"/>
  <c r="I17" i="2"/>
  <c r="F16" i="1" s="1"/>
  <c r="I16" i="2"/>
  <c r="I15" i="2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6" i="1"/>
  <c r="F15" i="1"/>
  <c r="F14" i="1"/>
  <c r="I10" i="1"/>
  <c r="F10" i="1"/>
  <c r="C10" i="1"/>
  <c r="F8" i="1"/>
  <c r="C8" i="1"/>
  <c r="F6" i="1"/>
  <c r="C6" i="1"/>
  <c r="F4" i="1"/>
  <c r="C4" i="1"/>
  <c r="F2" i="1"/>
  <c r="C2" i="1"/>
  <c r="H153" i="3" l="1"/>
  <c r="H152" i="3" s="1"/>
  <c r="H158" i="3"/>
  <c r="H154" i="3" s="1"/>
  <c r="H203" i="3"/>
  <c r="H201" i="3" s="1"/>
  <c r="H200" i="3" s="1"/>
  <c r="AX16" i="3"/>
  <c r="AX40" i="3"/>
  <c r="AW60" i="3"/>
  <c r="BC60" i="3" s="1"/>
  <c r="BC70" i="3"/>
  <c r="AW78" i="3"/>
  <c r="AW91" i="3"/>
  <c r="H95" i="3"/>
  <c r="I97" i="3"/>
  <c r="AX97" i="3"/>
  <c r="AX110" i="3"/>
  <c r="J120" i="3"/>
  <c r="AX134" i="3"/>
  <c r="AW136" i="3"/>
  <c r="H141" i="3"/>
  <c r="H138" i="3" s="1"/>
  <c r="H137" i="3" s="1"/>
  <c r="I145" i="3"/>
  <c r="AX145" i="3"/>
  <c r="AW153" i="3"/>
  <c r="AW158" i="3"/>
  <c r="AS164" i="3"/>
  <c r="AX196" i="3"/>
  <c r="AW203" i="3"/>
  <c r="H145" i="3"/>
  <c r="I196" i="3"/>
  <c r="H28" i="3"/>
  <c r="AW28" i="3"/>
  <c r="AW34" i="3"/>
  <c r="AV34" i="3" s="1"/>
  <c r="I48" i="3"/>
  <c r="AX48" i="3"/>
  <c r="AX51" i="3"/>
  <c r="AW62" i="3"/>
  <c r="AV62" i="3" s="1"/>
  <c r="AW70" i="3"/>
  <c r="AW116" i="3"/>
  <c r="AW122" i="3"/>
  <c r="AW125" i="3"/>
  <c r="AW132" i="3"/>
  <c r="BC132" i="3" s="1"/>
  <c r="I141" i="3"/>
  <c r="I138" i="3" s="1"/>
  <c r="I137" i="3" s="1"/>
  <c r="AX141" i="3"/>
  <c r="AW150" i="3"/>
  <c r="AW156" i="3"/>
  <c r="BC156" i="3" s="1"/>
  <c r="AX170" i="3"/>
  <c r="AW181" i="3"/>
  <c r="AX198" i="3"/>
  <c r="I16" i="3"/>
  <c r="AW53" i="3"/>
  <c r="AW64" i="3"/>
  <c r="BC64" i="3" s="1"/>
  <c r="BC66" i="3"/>
  <c r="AW68" i="3"/>
  <c r="H74" i="3"/>
  <c r="H86" i="3"/>
  <c r="J94" i="3"/>
  <c r="AS94" i="3"/>
  <c r="AW106" i="3"/>
  <c r="I109" i="3"/>
  <c r="AW114" i="3"/>
  <c r="BC114" i="3" s="1"/>
  <c r="AW130" i="3"/>
  <c r="AV130" i="3" s="1"/>
  <c r="AU138" i="3"/>
  <c r="AX172" i="3"/>
  <c r="AW190" i="3"/>
  <c r="H195" i="3"/>
  <c r="I24" i="3"/>
  <c r="AX24" i="3"/>
  <c r="AX53" i="3"/>
  <c r="AW58" i="3"/>
  <c r="BC58" i="3" s="1"/>
  <c r="AW66" i="3"/>
  <c r="AV66" i="3" s="1"/>
  <c r="I74" i="3"/>
  <c r="I73" i="3" s="1"/>
  <c r="AW82" i="3"/>
  <c r="AV82" i="3" s="1"/>
  <c r="I86" i="3"/>
  <c r="AW100" i="3"/>
  <c r="H105" i="3"/>
  <c r="H119" i="3"/>
  <c r="H118" i="3" s="1"/>
  <c r="I121" i="3"/>
  <c r="I120" i="3" s="1"/>
  <c r="AW128" i="3"/>
  <c r="H161" i="3"/>
  <c r="AW163" i="3"/>
  <c r="H168" i="3"/>
  <c r="AW179" i="3"/>
  <c r="I191" i="3"/>
  <c r="AW206" i="3"/>
  <c r="I160" i="3"/>
  <c r="I40" i="3"/>
  <c r="H116" i="3"/>
  <c r="J73" i="3"/>
  <c r="AU120" i="3"/>
  <c r="J135" i="3"/>
  <c r="AT178" i="3"/>
  <c r="I207" i="3"/>
  <c r="I201" i="3"/>
  <c r="I200" i="3" s="1"/>
  <c r="AS13" i="3"/>
  <c r="H61" i="3"/>
  <c r="I80" i="3"/>
  <c r="I92" i="3"/>
  <c r="J104" i="3"/>
  <c r="J111" i="3"/>
  <c r="H117" i="3"/>
  <c r="AX121" i="3"/>
  <c r="H178" i="3"/>
  <c r="J201" i="3"/>
  <c r="AW209" i="3"/>
  <c r="AV214" i="3"/>
  <c r="H53" i="3"/>
  <c r="AW18" i="3"/>
  <c r="AW42" i="3"/>
  <c r="BC42" i="3" s="1"/>
  <c r="AV49" i="3"/>
  <c r="AW52" i="3"/>
  <c r="BC52" i="3" s="1"/>
  <c r="AW74" i="3"/>
  <c r="J126" i="3"/>
  <c r="J123" i="3" s="1"/>
  <c r="H148" i="3"/>
  <c r="H147" i="3" s="1"/>
  <c r="H173" i="3"/>
  <c r="J191" i="3"/>
  <c r="AT191" i="3"/>
  <c r="I214" i="3"/>
  <c r="I213" i="3" s="1"/>
  <c r="I212" i="3" s="1"/>
  <c r="AW214" i="3"/>
  <c r="AU164" i="3"/>
  <c r="BC40" i="3"/>
  <c r="AT57" i="3"/>
  <c r="H97" i="3"/>
  <c r="H94" i="3" s="1"/>
  <c r="I153" i="3"/>
  <c r="I152" i="3" s="1"/>
  <c r="AX211" i="3"/>
  <c r="C27" i="1"/>
  <c r="I32" i="3"/>
  <c r="AX32" i="3"/>
  <c r="BC32" i="3" s="1"/>
  <c r="AX38" i="3"/>
  <c r="AW49" i="3"/>
  <c r="BC49" i="3" s="1"/>
  <c r="AX52" i="3"/>
  <c r="AX56" i="3"/>
  <c r="H59" i="3"/>
  <c r="H57" i="3" s="1"/>
  <c r="I63" i="3"/>
  <c r="I65" i="3"/>
  <c r="H67" i="3"/>
  <c r="I69" i="3"/>
  <c r="AX69" i="3"/>
  <c r="AX80" i="3"/>
  <c r="H84" i="3"/>
  <c r="H73" i="3" s="1"/>
  <c r="AX92" i="3"/>
  <c r="AW96" i="3"/>
  <c r="H101" i="3"/>
  <c r="I107" i="3"/>
  <c r="I104" i="3" s="1"/>
  <c r="H113" i="3"/>
  <c r="H112" i="3" s="1"/>
  <c r="I115" i="3"/>
  <c r="I112" i="3" s="1"/>
  <c r="I111" i="3" s="1"/>
  <c r="AX115" i="3"/>
  <c r="AV115" i="3" s="1"/>
  <c r="AW119" i="3"/>
  <c r="H129" i="3"/>
  <c r="H126" i="3" s="1"/>
  <c r="I131" i="3"/>
  <c r="AX131" i="3"/>
  <c r="J133" i="3"/>
  <c r="AW143" i="3"/>
  <c r="I149" i="3"/>
  <c r="I148" i="3" s="1"/>
  <c r="I147" i="3" s="1"/>
  <c r="AX149" i="3"/>
  <c r="I155" i="3"/>
  <c r="I154" i="3" s="1"/>
  <c r="AX155" i="3"/>
  <c r="J164" i="3"/>
  <c r="AT164" i="3"/>
  <c r="I180" i="3"/>
  <c r="I178" i="3" s="1"/>
  <c r="I175" i="3" s="1"/>
  <c r="AX180" i="3"/>
  <c r="H191" i="3"/>
  <c r="AW197" i="3"/>
  <c r="I202" i="3"/>
  <c r="AX202" i="3"/>
  <c r="AS201" i="3"/>
  <c r="J207" i="3"/>
  <c r="AT207" i="3"/>
  <c r="H125" i="3"/>
  <c r="H124" i="3" s="1"/>
  <c r="F22" i="1"/>
  <c r="I14" i="1"/>
  <c r="I22" i="1" s="1"/>
  <c r="C28" i="1"/>
  <c r="F28" i="1" s="1"/>
  <c r="I18" i="2"/>
  <c r="F29" i="2" s="1"/>
  <c r="J54" i="3"/>
  <c r="AX63" i="3"/>
  <c r="AV63" i="3" s="1"/>
  <c r="AX65" i="3"/>
  <c r="AV65" i="3" s="1"/>
  <c r="H78" i="3"/>
  <c r="H91" i="3"/>
  <c r="AS120" i="3"/>
  <c r="H136" i="3"/>
  <c r="H135" i="3" s="1"/>
  <c r="AW139" i="3"/>
  <c r="BC139" i="3" s="1"/>
  <c r="AU148" i="3"/>
  <c r="J154" i="3"/>
  <c r="J151" i="3" s="1"/>
  <c r="H164" i="3"/>
  <c r="H175" i="3"/>
  <c r="AU178" i="3"/>
  <c r="AU201" i="3"/>
  <c r="AU207" i="3"/>
  <c r="AX167" i="3"/>
  <c r="AW26" i="3"/>
  <c r="AV26" i="3" s="1"/>
  <c r="BH59" i="3"/>
  <c r="AB59" i="3" s="1"/>
  <c r="AX72" i="3"/>
  <c r="AW76" i="3"/>
  <c r="I78" i="3"/>
  <c r="AW89" i="3"/>
  <c r="BC89" i="3" s="1"/>
  <c r="I91" i="3"/>
  <c r="I99" i="3"/>
  <c r="I94" i="3" s="1"/>
  <c r="I93" i="3" s="1"/>
  <c r="AX99" i="3"/>
  <c r="AW103" i="3"/>
  <c r="AS104" i="3"/>
  <c r="AX107" i="3"/>
  <c r="H110" i="3"/>
  <c r="AS112" i="3"/>
  <c r="H122" i="3"/>
  <c r="H120" i="3" s="1"/>
  <c r="I127" i="3"/>
  <c r="I126" i="3" s="1"/>
  <c r="I123" i="3" s="1"/>
  <c r="AX127" i="3"/>
  <c r="I136" i="3"/>
  <c r="I135" i="3" s="1"/>
  <c r="I167" i="3"/>
  <c r="I164" i="3" s="1"/>
  <c r="AU191" i="3"/>
  <c r="AX192" i="3"/>
  <c r="I211" i="3"/>
  <c r="BC24" i="3"/>
  <c r="AV24" i="3"/>
  <c r="BC48" i="3"/>
  <c r="AV48" i="3"/>
  <c r="J12" i="3"/>
  <c r="BC16" i="3"/>
  <c r="AV16" i="3"/>
  <c r="AV18" i="3"/>
  <c r="BC115" i="3"/>
  <c r="AV149" i="3"/>
  <c r="BC149" i="3"/>
  <c r="I14" i="3"/>
  <c r="AL14" i="3"/>
  <c r="AU13" i="3" s="1"/>
  <c r="AW14" i="3"/>
  <c r="H16" i="3"/>
  <c r="BC18" i="3"/>
  <c r="BI18" i="3"/>
  <c r="AC18" i="3" s="1"/>
  <c r="AX20" i="3"/>
  <c r="AV20" i="3" s="1"/>
  <c r="BH20" i="3"/>
  <c r="AB20" i="3" s="1"/>
  <c r="I22" i="3"/>
  <c r="AW22" i="3"/>
  <c r="H24" i="3"/>
  <c r="BI26" i="3"/>
  <c r="AC26" i="3" s="1"/>
  <c r="AX28" i="3"/>
  <c r="I30" i="3"/>
  <c r="AW30" i="3"/>
  <c r="H32" i="3"/>
  <c r="BC34" i="3"/>
  <c r="BI34" i="3"/>
  <c r="AC34" i="3" s="1"/>
  <c r="AX36" i="3"/>
  <c r="AV36" i="3" s="1"/>
  <c r="BH36" i="3"/>
  <c r="AB36" i="3" s="1"/>
  <c r="I38" i="3"/>
  <c r="AW38" i="3"/>
  <c r="H40" i="3"/>
  <c r="AV40" i="3"/>
  <c r="BI42" i="3"/>
  <c r="AC42" i="3" s="1"/>
  <c r="I46" i="3"/>
  <c r="AL46" i="3"/>
  <c r="AU45" i="3" s="1"/>
  <c r="AW46" i="3"/>
  <c r="H48" i="3"/>
  <c r="BI49" i="3"/>
  <c r="AC49" i="3" s="1"/>
  <c r="AX50" i="3"/>
  <c r="AV50" i="3" s="1"/>
  <c r="BH50" i="3"/>
  <c r="AB50" i="3" s="1"/>
  <c r="I51" i="3"/>
  <c r="AW51" i="3"/>
  <c r="H52" i="3"/>
  <c r="AV52" i="3"/>
  <c r="I56" i="3"/>
  <c r="I55" i="3" s="1"/>
  <c r="AL56" i="3"/>
  <c r="AU55" i="3" s="1"/>
  <c r="AW56" i="3"/>
  <c r="BI59" i="3"/>
  <c r="AC59" i="3" s="1"/>
  <c r="AV60" i="3"/>
  <c r="BI60" i="3"/>
  <c r="AC60" i="3" s="1"/>
  <c r="AV61" i="3"/>
  <c r="BH61" i="3"/>
  <c r="AB61" i="3" s="1"/>
  <c r="I64" i="3"/>
  <c r="BC65" i="3"/>
  <c r="AV70" i="3"/>
  <c r="BC76" i="3"/>
  <c r="BC109" i="3"/>
  <c r="AU112" i="3"/>
  <c r="BC125" i="3"/>
  <c r="AV84" i="3"/>
  <c r="BC84" i="3"/>
  <c r="AV105" i="3"/>
  <c r="BC105" i="3"/>
  <c r="AV157" i="3"/>
  <c r="BC157" i="3"/>
  <c r="H14" i="3"/>
  <c r="I20" i="3"/>
  <c r="H22" i="3"/>
  <c r="I28" i="3"/>
  <c r="H30" i="3"/>
  <c r="I36" i="3"/>
  <c r="H38" i="3"/>
  <c r="H46" i="3"/>
  <c r="I50" i="3"/>
  <c r="H51" i="3"/>
  <c r="H56" i="3"/>
  <c r="H55" i="3" s="1"/>
  <c r="I58" i="3"/>
  <c r="I57" i="3" s="1"/>
  <c r="BI58" i="3"/>
  <c r="AC58" i="3" s="1"/>
  <c r="AX59" i="3"/>
  <c r="AV59" i="3" s="1"/>
  <c r="AU73" i="3"/>
  <c r="BC153" i="3"/>
  <c r="AV95" i="3"/>
  <c r="BC95" i="3"/>
  <c r="AV121" i="3"/>
  <c r="BC121" i="3"/>
  <c r="AV141" i="3"/>
  <c r="BC141" i="3"/>
  <c r="BI14" i="3"/>
  <c r="AC14" i="3" s="1"/>
  <c r="BH16" i="3"/>
  <c r="AB16" i="3" s="1"/>
  <c r="BI22" i="3"/>
  <c r="AC22" i="3" s="1"/>
  <c r="BH24" i="3"/>
  <c r="AB24" i="3" s="1"/>
  <c r="BI30" i="3"/>
  <c r="AC30" i="3" s="1"/>
  <c r="BH32" i="3"/>
  <c r="AB32" i="3" s="1"/>
  <c r="BI46" i="3"/>
  <c r="AC46" i="3" s="1"/>
  <c r="BH48" i="3"/>
  <c r="AB48" i="3" s="1"/>
  <c r="BC62" i="3"/>
  <c r="BI64" i="3"/>
  <c r="AC64" i="3" s="1"/>
  <c r="BC128" i="3"/>
  <c r="AV160" i="3"/>
  <c r="AV67" i="3"/>
  <c r="BC67" i="3"/>
  <c r="AV77" i="3"/>
  <c r="BC77" i="3"/>
  <c r="AV90" i="3"/>
  <c r="BC90" i="3"/>
  <c r="AV110" i="3"/>
  <c r="BC110" i="3"/>
  <c r="AV129" i="3"/>
  <c r="BC129" i="3"/>
  <c r="AV161" i="3"/>
  <c r="BC161" i="3"/>
  <c r="BC195" i="3"/>
  <c r="BC214" i="3"/>
  <c r="BH60" i="3"/>
  <c r="AB60" i="3" s="1"/>
  <c r="AX68" i="3"/>
  <c r="BC68" i="3" s="1"/>
  <c r="AW69" i="3"/>
  <c r="AW72" i="3"/>
  <c r="AX74" i="3"/>
  <c r="BC74" i="3" s="1"/>
  <c r="AW75" i="3"/>
  <c r="AV76" i="3"/>
  <c r="AX78" i="3"/>
  <c r="BC78" i="3" s="1"/>
  <c r="AW80" i="3"/>
  <c r="AX86" i="3"/>
  <c r="BC86" i="3" s="1"/>
  <c r="AW88" i="3"/>
  <c r="AX91" i="3"/>
  <c r="BC91" i="3" s="1"/>
  <c r="AW92" i="3"/>
  <c r="AX96" i="3"/>
  <c r="BC96" i="3" s="1"/>
  <c r="AW97" i="3"/>
  <c r="AX100" i="3"/>
  <c r="BC100" i="3" s="1"/>
  <c r="AW101" i="3"/>
  <c r="AX103" i="3"/>
  <c r="BC103" i="3" s="1"/>
  <c r="AX106" i="3"/>
  <c r="BC106" i="3" s="1"/>
  <c r="AW107" i="3"/>
  <c r="AV109" i="3"/>
  <c r="AW113" i="3"/>
  <c r="AV114" i="3"/>
  <c r="AX116" i="3"/>
  <c r="BC116" i="3" s="1"/>
  <c r="AW117" i="3"/>
  <c r="AX119" i="3"/>
  <c r="AX122" i="3"/>
  <c r="BC122" i="3" s="1"/>
  <c r="AV125" i="3"/>
  <c r="AW127" i="3"/>
  <c r="AV128" i="3"/>
  <c r="AX130" i="3"/>
  <c r="AW131" i="3"/>
  <c r="AW134" i="3"/>
  <c r="AX136" i="3"/>
  <c r="BC136" i="3" s="1"/>
  <c r="J138" i="3"/>
  <c r="J137" i="3" s="1"/>
  <c r="AV139" i="3"/>
  <c r="AX143" i="3"/>
  <c r="BC143" i="3" s="1"/>
  <c r="AW145" i="3"/>
  <c r="AX150" i="3"/>
  <c r="BC150" i="3" s="1"/>
  <c r="AV153" i="3"/>
  <c r="AL155" i="3"/>
  <c r="AU154" i="3" s="1"/>
  <c r="AW155" i="3"/>
  <c r="AV156" i="3"/>
  <c r="AX158" i="3"/>
  <c r="BC158" i="3" s="1"/>
  <c r="AW159" i="3"/>
  <c r="AW165" i="3"/>
  <c r="AX168" i="3"/>
  <c r="BC168" i="3" s="1"/>
  <c r="AW170" i="3"/>
  <c r="AX173" i="3"/>
  <c r="BC173" i="3" s="1"/>
  <c r="AW174" i="3"/>
  <c r="J178" i="3"/>
  <c r="AX181" i="3"/>
  <c r="BC181" i="3" s="1"/>
  <c r="AW182" i="3"/>
  <c r="AX185" i="3"/>
  <c r="BC185" i="3" s="1"/>
  <c r="AW192" i="3"/>
  <c r="AX195" i="3"/>
  <c r="AV195" i="3" s="1"/>
  <c r="AW196" i="3"/>
  <c r="AW202" i="3"/>
  <c r="AW208" i="3"/>
  <c r="BI66" i="3"/>
  <c r="AC66" i="3" s="1"/>
  <c r="BH67" i="3"/>
  <c r="AB67" i="3" s="1"/>
  <c r="BI70" i="3"/>
  <c r="AC70" i="3" s="1"/>
  <c r="BI76" i="3"/>
  <c r="BH77" i="3"/>
  <c r="BI82" i="3"/>
  <c r="BH84" i="3"/>
  <c r="BI89" i="3"/>
  <c r="BH90" i="3"/>
  <c r="BH95" i="3"/>
  <c r="AB95" i="3" s="1"/>
  <c r="BI98" i="3"/>
  <c r="AC98" i="3" s="1"/>
  <c r="BH99" i="3"/>
  <c r="AB99" i="3" s="1"/>
  <c r="BH105" i="3"/>
  <c r="BI109" i="3"/>
  <c r="BH110" i="3"/>
  <c r="BI114" i="3"/>
  <c r="AC114" i="3" s="1"/>
  <c r="BH115" i="3"/>
  <c r="AB115" i="3" s="1"/>
  <c r="BH121" i="3"/>
  <c r="BI125" i="3"/>
  <c r="AC125" i="3" s="1"/>
  <c r="BI128" i="3"/>
  <c r="AC128" i="3" s="1"/>
  <c r="BH129" i="3"/>
  <c r="AB129" i="3" s="1"/>
  <c r="BI132" i="3"/>
  <c r="AC132" i="3" s="1"/>
  <c r="BI139" i="3"/>
  <c r="AC139" i="3" s="1"/>
  <c r="BH141" i="3"/>
  <c r="AB141" i="3" s="1"/>
  <c r="BH149" i="3"/>
  <c r="AB149" i="3" s="1"/>
  <c r="BI153" i="3"/>
  <c r="AC153" i="3" s="1"/>
  <c r="BI156" i="3"/>
  <c r="AC156" i="3" s="1"/>
  <c r="BH157" i="3"/>
  <c r="AB157" i="3" s="1"/>
  <c r="BI160" i="3"/>
  <c r="AC160" i="3" s="1"/>
  <c r="BH161" i="3"/>
  <c r="AB161" i="3" s="1"/>
  <c r="BI163" i="3"/>
  <c r="BI166" i="3"/>
  <c r="BH167" i="3"/>
  <c r="BI171" i="3"/>
  <c r="BH172" i="3"/>
  <c r="BH177" i="3"/>
  <c r="AB177" i="3" s="1"/>
  <c r="BI179" i="3"/>
  <c r="AC179" i="3" s="1"/>
  <c r="BH180" i="3"/>
  <c r="AB180" i="3" s="1"/>
  <c r="BI183" i="3"/>
  <c r="AC183" i="3" s="1"/>
  <c r="BH184" i="3"/>
  <c r="AB184" i="3" s="1"/>
  <c r="BH187" i="3"/>
  <c r="AB187" i="3" s="1"/>
  <c r="BI190" i="3"/>
  <c r="BI193" i="3"/>
  <c r="BH194" i="3"/>
  <c r="BI197" i="3"/>
  <c r="BH198" i="3"/>
  <c r="BI203" i="3"/>
  <c r="AC203" i="3" s="1"/>
  <c r="BH204" i="3"/>
  <c r="AB204" i="3" s="1"/>
  <c r="BI206" i="3"/>
  <c r="BI209" i="3"/>
  <c r="BH211" i="3"/>
  <c r="AV68" i="3"/>
  <c r="AV74" i="3"/>
  <c r="AV78" i="3"/>
  <c r="AL95" i="3"/>
  <c r="AU94" i="3" s="1"/>
  <c r="AV96" i="3"/>
  <c r="AX98" i="3"/>
  <c r="BC98" i="3" s="1"/>
  <c r="AW99" i="3"/>
  <c r="AV100" i="3"/>
  <c r="AL105" i="3"/>
  <c r="AU104" i="3" s="1"/>
  <c r="AV106" i="3"/>
  <c r="AV119" i="3"/>
  <c r="AV143" i="3"/>
  <c r="AV158" i="3"/>
  <c r="AX163" i="3"/>
  <c r="BC163" i="3" s="1"/>
  <c r="AX166" i="3"/>
  <c r="BC166" i="3" s="1"/>
  <c r="AW167" i="3"/>
  <c r="AX171" i="3"/>
  <c r="BC171" i="3" s="1"/>
  <c r="AW172" i="3"/>
  <c r="AV173" i="3"/>
  <c r="AL177" i="3"/>
  <c r="AU176" i="3" s="1"/>
  <c r="AW177" i="3"/>
  <c r="AX179" i="3"/>
  <c r="BC179" i="3" s="1"/>
  <c r="AW180" i="3"/>
  <c r="AV181" i="3"/>
  <c r="AX183" i="3"/>
  <c r="BC183" i="3" s="1"/>
  <c r="AW184" i="3"/>
  <c r="AV185" i="3"/>
  <c r="AL187" i="3"/>
  <c r="AU186" i="3" s="1"/>
  <c r="AW187" i="3"/>
  <c r="AX190" i="3"/>
  <c r="BC190" i="3" s="1"/>
  <c r="AX193" i="3"/>
  <c r="BC193" i="3" s="1"/>
  <c r="AW194" i="3"/>
  <c r="AX197" i="3"/>
  <c r="AW198" i="3"/>
  <c r="AX203" i="3"/>
  <c r="BC203" i="3" s="1"/>
  <c r="AW204" i="3"/>
  <c r="AX206" i="3"/>
  <c r="AX209" i="3"/>
  <c r="BC209" i="3" s="1"/>
  <c r="AW211" i="3"/>
  <c r="BI214" i="3"/>
  <c r="AC214" i="3" s="1"/>
  <c r="C14" i="1" l="1"/>
  <c r="BC63" i="3"/>
  <c r="H151" i="3"/>
  <c r="J200" i="3"/>
  <c r="AV58" i="3"/>
  <c r="BC53" i="3"/>
  <c r="AV53" i="3"/>
  <c r="AV132" i="3"/>
  <c r="AV89" i="3"/>
  <c r="I151" i="3"/>
  <c r="AV91" i="3"/>
  <c r="BC197" i="3"/>
  <c r="AV136" i="3"/>
  <c r="AV86" i="3"/>
  <c r="BC130" i="3"/>
  <c r="AV64" i="3"/>
  <c r="H54" i="3"/>
  <c r="BC26" i="3"/>
  <c r="H123" i="3"/>
  <c r="H111" i="3"/>
  <c r="AV32" i="3"/>
  <c r="J93" i="3"/>
  <c r="BC206" i="3"/>
  <c r="AV116" i="3"/>
  <c r="J175" i="3"/>
  <c r="H45" i="3"/>
  <c r="H44" i="3" s="1"/>
  <c r="H104" i="3"/>
  <c r="H93" i="3" s="1"/>
  <c r="BC82" i="3"/>
  <c r="AV168" i="3"/>
  <c r="AV103" i="3"/>
  <c r="BC119" i="3"/>
  <c r="AV42" i="3"/>
  <c r="AV187" i="3"/>
  <c r="BC187" i="3"/>
  <c r="AV211" i="3"/>
  <c r="BC211" i="3"/>
  <c r="AV194" i="3"/>
  <c r="BC194" i="3"/>
  <c r="BC196" i="3"/>
  <c r="AV196" i="3"/>
  <c r="BC182" i="3"/>
  <c r="AV182" i="3"/>
  <c r="BC159" i="3"/>
  <c r="AV159" i="3"/>
  <c r="BC134" i="3"/>
  <c r="AV134" i="3"/>
  <c r="BC113" i="3"/>
  <c r="AV113" i="3"/>
  <c r="BC75" i="3"/>
  <c r="AV75" i="3"/>
  <c r="BC46" i="3"/>
  <c r="AV46" i="3"/>
  <c r="AV190" i="3"/>
  <c r="AV197" i="3"/>
  <c r="AV166" i="3"/>
  <c r="AV122" i="3"/>
  <c r="I13" i="3"/>
  <c r="I12" i="3" s="1"/>
  <c r="BC36" i="3"/>
  <c r="BC59" i="3"/>
  <c r="BC50" i="3"/>
  <c r="BC202" i="3"/>
  <c r="AV202" i="3"/>
  <c r="BC174" i="3"/>
  <c r="AV174" i="3"/>
  <c r="BC165" i="3"/>
  <c r="AV165" i="3"/>
  <c r="BC155" i="3"/>
  <c r="AV155" i="3"/>
  <c r="BC145" i="3"/>
  <c r="AV145" i="3"/>
  <c r="BC97" i="3"/>
  <c r="AV97" i="3"/>
  <c r="BC88" i="3"/>
  <c r="AV88" i="3"/>
  <c r="BC69" i="3"/>
  <c r="AV69" i="3"/>
  <c r="BC28" i="3"/>
  <c r="AV28" i="3"/>
  <c r="BC22" i="3"/>
  <c r="AV22" i="3"/>
  <c r="AV206" i="3"/>
  <c r="AV171" i="3"/>
  <c r="I54" i="3"/>
  <c r="C29" i="1"/>
  <c r="J215" i="3"/>
  <c r="BC20" i="3"/>
  <c r="AV204" i="3"/>
  <c r="BC204" i="3"/>
  <c r="AV184" i="3"/>
  <c r="BC184" i="3"/>
  <c r="BC208" i="3"/>
  <c r="AV208" i="3"/>
  <c r="BC192" i="3"/>
  <c r="AV192" i="3"/>
  <c r="BC131" i="3"/>
  <c r="AV131" i="3"/>
  <c r="BC107" i="3"/>
  <c r="AV107" i="3"/>
  <c r="BC72" i="3"/>
  <c r="AV72" i="3"/>
  <c r="BC51" i="3"/>
  <c r="AV51" i="3"/>
  <c r="BC38" i="3"/>
  <c r="AV38" i="3"/>
  <c r="BC14" i="3"/>
  <c r="AV14" i="3"/>
  <c r="AV179" i="3"/>
  <c r="C15" i="1"/>
  <c r="C22" i="1" s="1"/>
  <c r="AV193" i="3"/>
  <c r="H13" i="3"/>
  <c r="H12" i="3" s="1"/>
  <c r="AV98" i="3"/>
  <c r="I45" i="3"/>
  <c r="I44" i="3" s="1"/>
  <c r="AV177" i="3"/>
  <c r="BC177" i="3"/>
  <c r="AV172" i="3"/>
  <c r="BC172" i="3"/>
  <c r="AV99" i="3"/>
  <c r="BC99" i="3"/>
  <c r="AV198" i="3"/>
  <c r="BC198" i="3"/>
  <c r="AV180" i="3"/>
  <c r="BC180" i="3"/>
  <c r="AV167" i="3"/>
  <c r="BC167" i="3"/>
  <c r="BC170" i="3"/>
  <c r="AV170" i="3"/>
  <c r="BC127" i="3"/>
  <c r="AV127" i="3"/>
  <c r="BC117" i="3"/>
  <c r="AV117" i="3"/>
  <c r="BC101" i="3"/>
  <c r="AV101" i="3"/>
  <c r="BC92" i="3"/>
  <c r="AV92" i="3"/>
  <c r="BC80" i="3"/>
  <c r="AV80" i="3"/>
  <c r="BC56" i="3"/>
  <c r="AV56" i="3"/>
  <c r="BC30" i="3"/>
  <c r="AV30" i="3"/>
  <c r="AV183" i="3"/>
  <c r="AV163" i="3"/>
  <c r="AV203" i="3"/>
  <c r="AV209" i="3"/>
  <c r="AV150" i="3"/>
  <c r="F29" i="1" l="1"/>
  <c r="I28" i="1"/>
  <c r="I29" i="1" l="1"/>
</calcChain>
</file>

<file path=xl/sharedStrings.xml><?xml version="1.0" encoding="utf-8"?>
<sst xmlns="http://schemas.openxmlformats.org/spreadsheetml/2006/main" count="2056" uniqueCount="525">
  <si>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</si>
  <si>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</si>
  <si>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</si>
  <si>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</si>
  <si>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</si>
  <si>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</si>
  <si>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</si>
  <si>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67611591/CZ7303074053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</si>
  <si>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</si>
  <si>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</si>
  <si>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</si>
  <si>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</si>
  <si>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</si>
  <si>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</si>
  <si>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</si>
  <si>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</si>
  <si>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</si>
  <si>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</si>
  <si>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</si>
  <si>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</si>
  <si>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</si>
  <si>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</si>
  <si>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</si>
  <si>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</si>
  <si>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</si>
  <si>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Dokum.skut.proved.</t>
  </si>
  <si>
    <t>Zařízení staveniště</t>
  </si>
  <si>
    <t>Montáž</t>
  </si>
  <si>
    <t>Náklady na publicitu</t>
  </si>
  <si>
    <t>Mimostav. doprava</t>
  </si>
  <si>
    <t>PSV</t>
  </si>
  <si>
    <t>Pojištění odpověd.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</si>
  <si>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</si>
  <si>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</si>
  <si>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</si>
  <si>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</si>
  <si>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</si>
  <si>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</si>
  <si>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</si>
  <si>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</si>
  <si>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</si>
  <si>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</si>
  <si>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</si>
  <si>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</si>
  <si>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</si>
  <si>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</si>
  <si>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</si>
  <si>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</si>
  <si>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</si>
  <si>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</si>
  <si>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</si>
  <si>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</si>
  <si>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</si>
  <si>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</si>
  <si>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</si>
  <si>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</si>
  <si>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</si>
  <si>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</si>
  <si>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</si>
  <si>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</si>
  <si>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</si>
  <si>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</si>
  <si>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</si>
  <si>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</si>
  <si>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</si>
  <si>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</si>
  <si>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</si>
  <si>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</si>
  <si>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</si>
  <si>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</si>
  <si>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</si>
  <si>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Odborný léčebný ústav Jevíčko, revitalizace parkového areálu</t>
  </si>
  <si>
    <t>Doba výstavby:</t>
  </si>
  <si>
    <t xml:space="preserve"> </t>
  </si>
  <si>
    <t>Pardubický kraj</t>
  </si>
  <si>
    <t>Vegetační úpravy - UZNATELNÉ NÁKLADY, NEUZNATELNÉ NÁKLADY</t>
  </si>
  <si>
    <t>Ing. Přemysl Krejčiřík, Ph.D.</t>
  </si>
  <si>
    <t>Jevíčko</t>
  </si>
  <si>
    <t> </t>
  </si>
  <si>
    <t>Zpracováno dne:</t>
  </si>
  <si>
    <t>21.07.2023</t>
  </si>
  <si>
    <t>Ateliér Krejčiříkovi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</si>
  <si>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</si>
  <si>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</si>
  <si>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</si>
  <si>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</si>
  <si>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</si>
  <si>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</si>
  <si>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</si>
  <si>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</si>
  <si>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</si>
  <si>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</si>
  <si>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</si>
  <si>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</si>
  <si>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</si>
  <si>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</si>
  <si>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</si>
  <si>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</si>
  <si>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</si>
  <si>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</si>
  <si>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</si>
  <si>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</si>
  <si>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</si>
  <si>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</si>
  <si>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</si>
  <si>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</si>
  <si>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</si>
  <si>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</si>
  <si>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</si>
  <si>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</si>
  <si>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Asanace dřevin - UZNATELNÉ N.</t>
  </si>
  <si>
    <t>11</t>
  </si>
  <si>
    <t>Přípravné a přidružené práce</t>
  </si>
  <si>
    <t>01</t>
  </si>
  <si>
    <t>1</t>
  </si>
  <si>
    <t>111212359VD</t>
  </si>
  <si>
    <t>Odstranění nevhodných náletových dřevin strojově v 1 kroku, pr. kmene do 10cm, výšky nad 1m, vč. ods pařezu, nad 500m2, rovina-1:5</t>
  </si>
  <si>
    <t>m2</t>
  </si>
  <si>
    <t>11_</t>
  </si>
  <si>
    <t>01_1_</t>
  </si>
  <si>
    <t>01_</t>
  </si>
  <si>
    <t>Částka zahrnuje všechny nezbytné činnosti a materiály potřebné k realizaci opatření včetně nákladů na dopravu, skládkovného, a dalších vyvolaných investic. Tato částka je konečná.</t>
  </si>
  <si>
    <t>2</t>
  </si>
  <si>
    <t>111201101R00</t>
  </si>
  <si>
    <t>Odstranění nevhodných křovin i s kořeny na ploše do 1000 m2</t>
  </si>
  <si>
    <t>RTS I / 2023</t>
  </si>
  <si>
    <t>3</t>
  </si>
  <si>
    <t>111251119R00</t>
  </si>
  <si>
    <t>Drcení ořezaných větví, vč. přesunu na mulčované plochy výsadeb, příp. deponie - větve</t>
  </si>
  <si>
    <t>m3</t>
  </si>
  <si>
    <t>RTS II / 2023</t>
  </si>
  <si>
    <t>4</t>
  </si>
  <si>
    <t>111251111R00</t>
  </si>
  <si>
    <t>Drcení ořezaných větví, vč. přesunu na mulčované plochy výsadeb, příp. deponie - keře, náletové dřeviny</t>
  </si>
  <si>
    <t>solitérní keře - 93 m2;  objem dřevní hmoty 0,15 m3
skupiny keřů - 801m2; objem dřevní hmoty 2,25 m3
náletové dřeviny	 - 2100 m2; objem dřevní hmoty 8,5 m3
Částka zahrnuje všechny nezbytné činnosti a materiály potřebné k realizaci opatření včetně nákladů na dopravu, skládkovného, a dalších vyvolaných investic. Tato částka je konečná.</t>
  </si>
  <si>
    <t>5</t>
  </si>
  <si>
    <t>112101101R</t>
  </si>
  <si>
    <t>Kácení volné, průměr kmene na pařezu 11-20 cm (včetně rozřezání, vod. přemístění 1 km a složení)</t>
  </si>
  <si>
    <t>kus</t>
  </si>
  <si>
    <t>6</t>
  </si>
  <si>
    <t>112101102R</t>
  </si>
  <si>
    <t>Kácení volné, průměr kmene na pařezu 21-30 cm (včetně rozřezání, vod. přemístění 1 km a složení)</t>
  </si>
  <si>
    <t>7</t>
  </si>
  <si>
    <t>112101103R</t>
  </si>
  <si>
    <t>Kácení volné, průměr kmene na pařezu 31-40 cm (včetně rozřezání, vod. přemístění 1 km a složení)</t>
  </si>
  <si>
    <t>8</t>
  </si>
  <si>
    <t>112101104R</t>
  </si>
  <si>
    <t>Kácení volné, průměr kmene na pařezu 41-50 cm (včetně rozřezání, vod. přemístění 1 km a složení)</t>
  </si>
  <si>
    <t>9</t>
  </si>
  <si>
    <t>112101105R</t>
  </si>
  <si>
    <t>Kácení volné, průměr kmene na pařezu 51-60 cm (včetně rozřezání, vod. přemístění 1 km a složení)</t>
  </si>
  <si>
    <t>10</t>
  </si>
  <si>
    <t>112101106R</t>
  </si>
  <si>
    <t>Kácení volné, průměr kmene na pařezu 61-70 cm (včetně rozřezání, vod. přemístění 1 km a složení)</t>
  </si>
  <si>
    <t>112101107R</t>
  </si>
  <si>
    <t>Kácení volné, průměr kmene na pařezu 71-80 cm (včetně rozřezání, vod. přemístění 1 km a složení)</t>
  </si>
  <si>
    <t>12</t>
  </si>
  <si>
    <t>112101108R</t>
  </si>
  <si>
    <t>Kácení volné, průměr kmene na pařezu 81-90 cm (včetně rozřezání, vod. přemístění 1 km a složení)</t>
  </si>
  <si>
    <t>13</t>
  </si>
  <si>
    <t>112101111R</t>
  </si>
  <si>
    <t>Kácení volné, průměr kmene na pařezu 91-100 cm (včetně rozřezání, vod. přemístění 1 km a složení)</t>
  </si>
  <si>
    <t>14</t>
  </si>
  <si>
    <t>112101112R</t>
  </si>
  <si>
    <t>Kácení volné, průměr kmene na pařezu nad 100 cm (včetně rozřezání, vod. přemístění 1 km a složení)</t>
  </si>
  <si>
    <t>15</t>
  </si>
  <si>
    <t>111203111R00</t>
  </si>
  <si>
    <t>Odstranění pařezů dfrézováním do hloubky 20 cm, vč. odstranění vyfrézované dřevní hmoty, vč. zásypu jam a zeminy</t>
  </si>
  <si>
    <t>Ošetření dřevin - UZNATELNÉ N.</t>
  </si>
  <si>
    <t>184VD</t>
  </si>
  <si>
    <t>Řez stromů</t>
  </si>
  <si>
    <t>02</t>
  </si>
  <si>
    <t>16</t>
  </si>
  <si>
    <t>1119VD</t>
  </si>
  <si>
    <t>Odvoz a likvidace materiálu po ošetření dřevin</t>
  </si>
  <si>
    <t>soubor</t>
  </si>
  <si>
    <t>184VD_</t>
  </si>
  <si>
    <t>02_1_</t>
  </si>
  <si>
    <t>02_</t>
  </si>
  <si>
    <t>17</t>
  </si>
  <si>
    <t>184805315VD</t>
  </si>
  <si>
    <t>Pěstební opatření stromu (řez bezpečnostní) 21 ks</t>
  </si>
  <si>
    <t>18</t>
  </si>
  <si>
    <t>Pěstební opatření stromu (řez zdravotní) 99 ks</t>
  </si>
  <si>
    <t>19</t>
  </si>
  <si>
    <t>Pěstební opatření stromu (řez redukční) 4ks</t>
  </si>
  <si>
    <t>20</t>
  </si>
  <si>
    <t>Pěstební opatření stromu (řez výchovný) 1ks</t>
  </si>
  <si>
    <t>21</t>
  </si>
  <si>
    <t>Pěstební opatření stromu (Obvodová redukce / stabilizace sekundární koruny) 3ks</t>
  </si>
  <si>
    <t>22</t>
  </si>
  <si>
    <t>Pěstební opatření stromu (řez redukční) 2ks</t>
  </si>
  <si>
    <t>Výsadba stromů - UZNATELNÉ N.</t>
  </si>
  <si>
    <t>111</t>
  </si>
  <si>
    <t>Pěstební opatření</t>
  </si>
  <si>
    <t>03</t>
  </si>
  <si>
    <t>23</t>
  </si>
  <si>
    <t>111_300VD</t>
  </si>
  <si>
    <t>Vytýčení výsadeb</t>
  </si>
  <si>
    <t>bod</t>
  </si>
  <si>
    <t>111_</t>
  </si>
  <si>
    <t>03_1_</t>
  </si>
  <si>
    <t>03_</t>
  </si>
  <si>
    <t>Povrchové úpravy terénu</t>
  </si>
  <si>
    <t>24</t>
  </si>
  <si>
    <t>183101113R00</t>
  </si>
  <si>
    <t>Hloub. jamek bez výměny půdy do 0,05 m3, svah 1:5 (ovocné dřeviny)</t>
  </si>
  <si>
    <t>18_</t>
  </si>
  <si>
    <t>25</t>
  </si>
  <si>
    <t>Hloub. jamek bez výměny půdy do 0,05 m3, svah 1:5 (jehličnany)</t>
  </si>
  <si>
    <t>26</t>
  </si>
  <si>
    <t>183101114R00</t>
  </si>
  <si>
    <t>Hloub. jamek bez výměny půdy do 0,125 m3, sv.1:5 (strom 10/12)</t>
  </si>
  <si>
    <t>27</t>
  </si>
  <si>
    <t>183101115R00</t>
  </si>
  <si>
    <t>Hloub. jamek bez výměny půdy do 0,4 m3, svah 1:5 (strom 16/18)</t>
  </si>
  <si>
    <t>28</t>
  </si>
  <si>
    <t>184201111R00</t>
  </si>
  <si>
    <t>Výsadba stromu bez balu při výšce kmene do 1,8 m, v rovině, vč. zálivky a montáže kůlů a úvazků (ovocné dřeviny)</t>
  </si>
  <si>
    <t>29</t>
  </si>
  <si>
    <t>184102113R00</t>
  </si>
  <si>
    <t>Výsadba dřevin s balem D do 40 cm, v rovině, vč. zálivky (jehličnany, strom 10/12)</t>
  </si>
  <si>
    <t>30</t>
  </si>
  <si>
    <t>184102115R00</t>
  </si>
  <si>
    <t>Výsadba dřevin s balem D do 60 cm, v rovině, vč. zálivky</t>
  </si>
  <si>
    <t>31</t>
  </si>
  <si>
    <t>184801121R00</t>
  </si>
  <si>
    <t>Ošetřování vysazených dřevin soliterních, v rovině</t>
  </si>
  <si>
    <t>32</t>
  </si>
  <si>
    <t>184215411VD</t>
  </si>
  <si>
    <t>Zhotovení závlahové mísy o průměru kmene do 0,5m (mocnost mulče 10 cm)</t>
  </si>
  <si>
    <t>ks</t>
  </si>
  <si>
    <t>33</t>
  </si>
  <si>
    <t>184202111R00</t>
  </si>
  <si>
    <t>Ukotvení dřeviny kůly D do 10 cm, dl. do 2 m (mimo jehličnatých a ovocných dřevin)</t>
  </si>
  <si>
    <t>34</t>
  </si>
  <si>
    <t>111_102VD</t>
  </si>
  <si>
    <t>Zhotovení obalu kmene z rákosové rohože (ovocné a strom 10/12; strom 16/18)</t>
  </si>
  <si>
    <t>35</t>
  </si>
  <si>
    <t>184804112R00</t>
  </si>
  <si>
    <t>Ochrana dřevin před okusem z drát.pletiva v rovině (ovocné)</t>
  </si>
  <si>
    <t>36</t>
  </si>
  <si>
    <t>185851121</t>
  </si>
  <si>
    <t>Dovoz vody pro zálivku rostlin (40l/strom; 60l/ strom 16/18) do 1000 m</t>
  </si>
  <si>
    <t>H23</t>
  </si>
  <si>
    <t>Plochy a úpravy území</t>
  </si>
  <si>
    <t>37</t>
  </si>
  <si>
    <t>998231311R00</t>
  </si>
  <si>
    <t>Přesun hmot pro sadovnické a krajin. úpravy do 5km</t>
  </si>
  <si>
    <t>t</t>
  </si>
  <si>
    <t>H23_</t>
  </si>
  <si>
    <t>03_9_</t>
  </si>
  <si>
    <t>M</t>
  </si>
  <si>
    <t>38</t>
  </si>
  <si>
    <t>111_16VD</t>
  </si>
  <si>
    <t>Zásobní tabletové hnojivo (tabl.12x10g/strom 16/18; zbytek 5x10g/strom) vč. aplikace</t>
  </si>
  <si>
    <t>0</t>
  </si>
  <si>
    <t>Z99999_</t>
  </si>
  <si>
    <t>03_Z_</t>
  </si>
  <si>
    <t>39</t>
  </si>
  <si>
    <t>111_30VD</t>
  </si>
  <si>
    <t>Rákosová rohož, vázací materiál</t>
  </si>
  <si>
    <t>40</t>
  </si>
  <si>
    <t>10391100</t>
  </si>
  <si>
    <t>Kůra mulčovací VL</t>
  </si>
  <si>
    <t>41</t>
  </si>
  <si>
    <t>111_21VD</t>
  </si>
  <si>
    <t>Pozinkované pletivo, výška 150 cm, oko 50 mm, balení 25m (51x1m)</t>
  </si>
  <si>
    <t>m</t>
  </si>
  <si>
    <t>42</t>
  </si>
  <si>
    <t>111_32VD</t>
  </si>
  <si>
    <t>Ovocný strom, výška kmene 130-169 cm</t>
  </si>
  <si>
    <t xml:space="preserve">Juglans regia	- 11
Malus domestica	 - 16
Malus sylvestris	 - 25
Pyrus communis	 - 16
Prunus domestica	 - 18
</t>
  </si>
  <si>
    <t>43</t>
  </si>
  <si>
    <t>111_34VD</t>
  </si>
  <si>
    <t>Strom jehličnatý, výška 80-100 cm, ZB</t>
  </si>
  <si>
    <t xml:space="preserve">Abies alba	 - 85
Abies concolor	 - 2
Chamaecyparis lawsoniana	 - 2
Picea abies	 - 160
Pinus sylvestris	 - 10
Pseudotsuga menziesii	 - 2
Pseudotsuga menziesii var. Glauca	- 1
</t>
  </si>
  <si>
    <t>44</t>
  </si>
  <si>
    <t>Strom jehličnatý, výška 60-80 cm, ZB</t>
  </si>
  <si>
    <t xml:space="preserve">Taxus baccata - 50
</t>
  </si>
  <si>
    <t>45</t>
  </si>
  <si>
    <t>111_31VD</t>
  </si>
  <si>
    <t>Strom, 10/12, ZB</t>
  </si>
  <si>
    <t xml:space="preserve">Sobus aucuparia	 - 	25
Sorbus latifolia	 - 2
Sorbus torminalis	 - 25
</t>
  </si>
  <si>
    <t>46</t>
  </si>
  <si>
    <t>111_35VD</t>
  </si>
  <si>
    <t>Strom, 16/18, ZB</t>
  </si>
  <si>
    <t xml:space="preserve">Aesculus hippocastanum	 - 1
Acer platanoides - 1
Acer platanoides ´Purpurea´	 - 1
Acer pseudoplatanus	 - 6
Betula pendula - 1
Carpinus betulus	 - 8
Fraxinus excelsior - 3
Prunus avium	 - 29
Populus alba - 3 (sesazení 3 rosltin do 1 výsadbové jámy)
Quercus petraea	 - 1
Quercus robur	 - 2
Quercus robur ´Fastigiata´ - 3  (sesazení 3 rosltin do 1 výsadbové jámy)
Sobus aria	 - 12
Tilia euchlora	 - 1
Tilia platyphyllos	 - 7
</t>
  </si>
  <si>
    <t>47</t>
  </si>
  <si>
    <t>1114VD</t>
  </si>
  <si>
    <t>Příčka z půlené frézované kulatiny pr. 6cm, délka 60cm, 3ks/1strom (strom 16/18)</t>
  </si>
  <si>
    <t>48</t>
  </si>
  <si>
    <t>1113VD</t>
  </si>
  <si>
    <t>Kůl (průměr 6cm, frézovaný s fazetou a špicí, impregnovaný, 2,5m), 3 ks/1stromx79 stromů; 1kůl/strom ovocný 86stromů, strom 10/12</t>
  </si>
  <si>
    <t>49</t>
  </si>
  <si>
    <t>1112VD</t>
  </si>
  <si>
    <t>Popruh-úvazek, 3 ks k jednomu stromu/ 1ks ovocný</t>
  </si>
  <si>
    <t>50</t>
  </si>
  <si>
    <t>111_200VD</t>
  </si>
  <si>
    <t>Fyzikální půdní kondicionér určený ke zvýšení vodní a živné kapacity půd (500g/strom), vč. aplikace</t>
  </si>
  <si>
    <t>kg</t>
  </si>
  <si>
    <t>51</t>
  </si>
  <si>
    <t>08231320</t>
  </si>
  <si>
    <t>Voda pro zálivku</t>
  </si>
  <si>
    <t>Záhonová výsadba keřů - UZNATELNÉ N.</t>
  </si>
  <si>
    <t>04</t>
  </si>
  <si>
    <t>52</t>
  </si>
  <si>
    <t>184802111R00</t>
  </si>
  <si>
    <t>Chem. odplevelení před založ. postřikem</t>
  </si>
  <si>
    <t>04_1_</t>
  </si>
  <si>
    <t>04_</t>
  </si>
  <si>
    <t>53</t>
  </si>
  <si>
    <t>183205111R00</t>
  </si>
  <si>
    <t>Založení záhonu v rovině/svah 1 : 5, hor. 1 - 2</t>
  </si>
  <si>
    <t>54</t>
  </si>
  <si>
    <t>183101111R00</t>
  </si>
  <si>
    <t>Hloub. jamek bez výměny půdy do 0,01 m3, svah 1:5</t>
  </si>
  <si>
    <t>55</t>
  </si>
  <si>
    <t>184102111R00</t>
  </si>
  <si>
    <t>Výsadba dřevin s balem D do 20 cm, v rovině, vč. zálivky</t>
  </si>
  <si>
    <t>56</t>
  </si>
  <si>
    <t>184921093R00</t>
  </si>
  <si>
    <t>Mulčování rostlin mulčovací kůrou tl. 10cm rovina</t>
  </si>
  <si>
    <t>57</t>
  </si>
  <si>
    <t>184801131R00</t>
  </si>
  <si>
    <t>Ošetřování vysazených dřevin ve skupině, v rovině</t>
  </si>
  <si>
    <t>58</t>
  </si>
  <si>
    <t>Dovoz vody pro zálivku rostlin (40l/m2) do 1000 m</t>
  </si>
  <si>
    <t>59</t>
  </si>
  <si>
    <t>04_9_</t>
  </si>
  <si>
    <t>60</t>
  </si>
  <si>
    <t>Zásobní tabletové hnojivo (tabl.2x10g/keř) vč. aplikace</t>
  </si>
  <si>
    <t>04_Z_</t>
  </si>
  <si>
    <t>61</t>
  </si>
  <si>
    <t>62</t>
  </si>
  <si>
    <t>111_09VD</t>
  </si>
  <si>
    <t>Keře vel 40-60 (průměrná cena) - podrobně viz příloha</t>
  </si>
  <si>
    <t xml:space="preserve">Taxus baccata	- 25 ks	
Viburnum opulus	 - 268 ks	(živý plot mix šířka 3m)
Lonicera xylosteum	 - 259 ks	(živý plot mix šířka 3m)
Ligustrum vulgare	 - 259 ks	(živý plot mix šířka 3m)
Corylus avellana	 - 274 ks	(živý plot mix šířka 3m)
Cornus mas	- 259 ks (živý plot mix šířka 3m)
</t>
  </si>
  <si>
    <t>63</t>
  </si>
  <si>
    <t>2221VD</t>
  </si>
  <si>
    <t>Totální systémový herbicid na bázi glyfosátu (0,0005 l/m2)</t>
  </si>
  <si>
    <t>l</t>
  </si>
  <si>
    <t>64</t>
  </si>
  <si>
    <t>Založení parkového trávníku výsevem - UZNATELNÉ N.</t>
  </si>
  <si>
    <t>05</t>
  </si>
  <si>
    <t>65</t>
  </si>
  <si>
    <t>Chem. odplevelení před založ. postřikem, v rovině</t>
  </si>
  <si>
    <t>05_1_</t>
  </si>
  <si>
    <t>05_</t>
  </si>
  <si>
    <t>66</t>
  </si>
  <si>
    <t>111105111R00</t>
  </si>
  <si>
    <t>Odstranění stařiny odvoz 20 km, na svahu do 1:5</t>
  </si>
  <si>
    <t>67</t>
  </si>
  <si>
    <t>183403113R00</t>
  </si>
  <si>
    <t>Obdělání půdy frézováním v rovině - 2x</t>
  </si>
  <si>
    <t>68</t>
  </si>
  <si>
    <t>183403153R00</t>
  </si>
  <si>
    <t>Obdělání půdy hrabáním v rovině - 3x</t>
  </si>
  <si>
    <t>69</t>
  </si>
  <si>
    <t>180402111R00</t>
  </si>
  <si>
    <t>Založení trávníku parkového výsevem v rovině včetně utažení</t>
  </si>
  <si>
    <t>70</t>
  </si>
  <si>
    <t>05_9_</t>
  </si>
  <si>
    <t>71</t>
  </si>
  <si>
    <t>111116VD</t>
  </si>
  <si>
    <t>Travní směs 25g/m2</t>
  </si>
  <si>
    <t>05_Z_</t>
  </si>
  <si>
    <t>72</t>
  </si>
  <si>
    <t>Založ.trávníku, modelace proti erozi - UZNATELNÉ N</t>
  </si>
  <si>
    <t>06</t>
  </si>
  <si>
    <t>73</t>
  </si>
  <si>
    <t>111101111R00</t>
  </si>
  <si>
    <t>Odstranění ruderálního porostu v rovině</t>
  </si>
  <si>
    <t>06_1_</t>
  </si>
  <si>
    <t>06_</t>
  </si>
  <si>
    <t>74</t>
  </si>
  <si>
    <t>182001111R00</t>
  </si>
  <si>
    <t>Plošná úprava terénu, nerovnosti do 10 cm v rovině (protierozní opatření)</t>
  </si>
  <si>
    <t>75</t>
  </si>
  <si>
    <t>183403114R00</t>
  </si>
  <si>
    <t>Obdělání půdy kultivátorováním v rovině</t>
  </si>
  <si>
    <t>76</t>
  </si>
  <si>
    <t>183403152R00</t>
  </si>
  <si>
    <t>Obdělání půdy vláčením, v rovině</t>
  </si>
  <si>
    <t>77</t>
  </si>
  <si>
    <t>183403151R00</t>
  </si>
  <si>
    <t>Obdělání půdy smykováním, v rovině</t>
  </si>
  <si>
    <t>78</t>
  </si>
  <si>
    <t>183403161R00</t>
  </si>
  <si>
    <t>Obdělání půdy válením, v rovině</t>
  </si>
  <si>
    <t>79</t>
  </si>
  <si>
    <t>180401211R00</t>
  </si>
  <si>
    <t>Založení trávníku lučního výsevem v rovině včetně utažení</t>
  </si>
  <si>
    <t>80</t>
  </si>
  <si>
    <t>06_9_</t>
  </si>
  <si>
    <t>81</t>
  </si>
  <si>
    <t>Bylinná směs pro louky 20g/m2</t>
  </si>
  <si>
    <t>06_Z_</t>
  </si>
  <si>
    <t>Následná péče po dobu 3 let - UZNATELNÉ N.</t>
  </si>
  <si>
    <t>07</t>
  </si>
  <si>
    <t>82</t>
  </si>
  <si>
    <t>003VD</t>
  </si>
  <si>
    <t>Roční následná péče o jednotlivé stromy (398ks - ovocné, jehličnany) x3 roky</t>
  </si>
  <si>
    <t>07_1_</t>
  </si>
  <si>
    <t>07_</t>
  </si>
  <si>
    <t>Následná péče o výsadby se zálivkou - zahrnuje zálivku včetně dopravy vody (běžně 12 x ročně první dva roky, 6x ročně třetí rok - 20-40l/strom), kontrolu, doplnění nebo odstranění kotvících a ochranných prvků, výchovný řez, odplevelování</t>
  </si>
  <si>
    <t>83</t>
  </si>
  <si>
    <t>Roční následná péče o jednotlivé stromy  - obvod kmínku 8-12 cm 52ks x 3 roky</t>
  </si>
  <si>
    <t>84</t>
  </si>
  <si>
    <t>Roční následná péče o jednotlivé stromy  - obvod kmínku nad 14 cm 79 ks x 3 roky</t>
  </si>
  <si>
    <t>Následná péče o výsadby se zálivkou - zahrnuje zálivku včetně dopravy vody (běžně 12 x ročně první dva roky, 6x ročně třetí rok - 60l/strom), kontrolu, doplnění nebo odstranění kotvících a ochranných prvků, výchovný řez, odplevelování</t>
  </si>
  <si>
    <t>85</t>
  </si>
  <si>
    <t>Roční následná péče o keře v zápoji 990 m2 x 3 roky</t>
  </si>
  <si>
    <t>Následná péče o výsadby se zálivkou - zahrnuje zálivku včetně dopravy vody (běžně 5 x ročně, 20l/m2 keře), odplevelování, doplnění mulče</t>
  </si>
  <si>
    <t>Ošetření dřevin - NEUZNATELNÉ N.</t>
  </si>
  <si>
    <t>08</t>
  </si>
  <si>
    <t>86</t>
  </si>
  <si>
    <t>Pěstební opatření stromu (řez bezpečnostní) 2 ks</t>
  </si>
  <si>
    <t>08_1_</t>
  </si>
  <si>
    <t>08_</t>
  </si>
  <si>
    <t>87</t>
  </si>
  <si>
    <t>Pěstební opatření stromu (řez zdravotní) 11 ks</t>
  </si>
  <si>
    <t>Výsadba - památkově vzácný strom - NEUZNATELNÉ N.</t>
  </si>
  <si>
    <t>09</t>
  </si>
  <si>
    <t>88</t>
  </si>
  <si>
    <t>09_1_</t>
  </si>
  <si>
    <t>09_</t>
  </si>
  <si>
    <t>89</t>
  </si>
  <si>
    <t>Hloub. jamek bez výměny půdy do 0,4 m3, svah 1:5</t>
  </si>
  <si>
    <t>90</t>
  </si>
  <si>
    <t>91</t>
  </si>
  <si>
    <t>92</t>
  </si>
  <si>
    <t>93</t>
  </si>
  <si>
    <t>Ukotvení dřeviny kůly D do 10 cm, dl. do 2 m</t>
  </si>
  <si>
    <t>94</t>
  </si>
  <si>
    <t>Zhotovení obalu kmene z rákosové rohože</t>
  </si>
  <si>
    <t>95</t>
  </si>
  <si>
    <t>Dovoz vody pro zálivku rostlin (100l/strom) do 1000 m</t>
  </si>
  <si>
    <t>96</t>
  </si>
  <si>
    <t>09_9_</t>
  </si>
  <si>
    <t>97</t>
  </si>
  <si>
    <t>Zásobní tabletové hnojivo (tabl.12x10g/strom) vč. aplikace</t>
  </si>
  <si>
    <t>09_Z_</t>
  </si>
  <si>
    <t>98</t>
  </si>
  <si>
    <t>99</t>
  </si>
  <si>
    <t>100</t>
  </si>
  <si>
    <t>Prunus serrotina</t>
  </si>
  <si>
    <t>101</t>
  </si>
  <si>
    <t>Příčka z půlené frézované kulatiny pr. 6cm, délka 60cm, 3ks/1strom</t>
  </si>
  <si>
    <t>102</t>
  </si>
  <si>
    <t>Kůl (průměr 6cm, frézovaný s fazetou a špicí, impregnovaný, 2,5m), 3 ks/1strom</t>
  </si>
  <si>
    <t>103</t>
  </si>
  <si>
    <t>Popruh-úvazek, 3 ks k jednomu stromu</t>
  </si>
  <si>
    <t>104</t>
  </si>
  <si>
    <t>105</t>
  </si>
  <si>
    <t>Založení trvalkových záhonů - NEUZNATELNÉ N.</t>
  </si>
  <si>
    <t>106</t>
  </si>
  <si>
    <t>111_100VD</t>
  </si>
  <si>
    <t>Vytýčení navrhovaných technických prvků  (záhony)</t>
  </si>
  <si>
    <t>10_1_</t>
  </si>
  <si>
    <t>10_</t>
  </si>
  <si>
    <t>107</t>
  </si>
  <si>
    <t>108</t>
  </si>
  <si>
    <t>109</t>
  </si>
  <si>
    <t>185802114R00</t>
  </si>
  <si>
    <t>Hnojení tabletovým hnojivem jednotlivě k rostlinám v rovině (1x10g)</t>
  </si>
  <si>
    <t>110</t>
  </si>
  <si>
    <t>183204115R00</t>
  </si>
  <si>
    <t>Výsadba květin hrnkovaných, květináč do 12 cm, do připravené půdy se zalitím</t>
  </si>
  <si>
    <t>112</t>
  </si>
  <si>
    <t>Mulčování rostlin mulčovací kůrou tl. 7cm rovina</t>
  </si>
  <si>
    <t>113</t>
  </si>
  <si>
    <t>200VD</t>
  </si>
  <si>
    <t>R-položky</t>
  </si>
  <si>
    <t>114</t>
  </si>
  <si>
    <t>200_016VD</t>
  </si>
  <si>
    <t>Instalace obruby z ocelové pásoviny; 5/100/3000 mm, oblouky (včetně ohýbání a svařování dílů, zatlučení a přivaření roxorů)</t>
  </si>
  <si>
    <t>bm</t>
  </si>
  <si>
    <t>200VD_</t>
  </si>
  <si>
    <t>10_2_</t>
  </si>
  <si>
    <t>Jednotlivé díly spojeny svařováním, kotveny z vnější strany pomocí roxorů bez povrchové úpravy, prům. 15 mm, délka 500 mm - z toho 450 mm zatlučeno do země, 50 mm navařeno na pásovinu; vzdálenost kotvení v rovných úsecích je 1000 mm, v obloucích 500 mm.</t>
  </si>
  <si>
    <t>115</t>
  </si>
  <si>
    <t>10_9_</t>
  </si>
  <si>
    <t>116</t>
  </si>
  <si>
    <t>10_Z_</t>
  </si>
  <si>
    <t>117</t>
  </si>
  <si>
    <t>Zásobní tabletové hnojivo (tabl.2x10g/trvalka) vč. aplikace</t>
  </si>
  <si>
    <t>118</t>
  </si>
  <si>
    <t>119</t>
  </si>
  <si>
    <t>120</t>
  </si>
  <si>
    <t>111_210VD</t>
  </si>
  <si>
    <t>Kovová obruba, ocelová pásovina 5/100/6000 mm + 15% přesahy</t>
  </si>
  <si>
    <t>121</t>
  </si>
  <si>
    <t>111_211VD</t>
  </si>
  <si>
    <t>Roxor ocelový k ukotvení lemovky (tyč: 6500 mm délka x 16 mm průměr); cca 3ks/bm (podkova 360ks; kruh 57 ks)</t>
  </si>
  <si>
    <t>122</t>
  </si>
  <si>
    <t>111_08VD</t>
  </si>
  <si>
    <t>Trvalky (průměrná cena) - specifikace viz příloha</t>
  </si>
  <si>
    <t xml:space="preserve">trvalky specifické éterickými oleji využitelné pro fytoterapii např:
Geranium macrorrhizum	30 ks
Hyssopus off. ´Albus´	34 ks
Hyssopus off. ssp. Aristatus	 - 45 ks
Lavandula angustifolia ´Hidcote´ - 	35 ks
Lavandula angustifolia ´Munstead´ - 	41 ks
Mentha spicata ´Moroccan´	 - 27 ks
Monarda didyma 'Melua Burgundy'	 - 39 ks
Nepeta mussinii	 - 48 ks 
Nepeta racemosa	 - 31 ks
Nepeta x faassennii ´Blue Wonder´ - 	29 ks
Nepeta x faassennii ´Senior´	 - 29 ks
Nepeta x faassennii ´Snowflake´ - 	44 ks
Origanum vulgare ´Aureum 	 - 24 ks
Origanum vulgare ´Compactum´ - 	26 ks
Origanum vulgare ssp. hirtum 	 - 40 ks
Perovskia Little Spire 	 - 50 ks
Salvia officinalis ´Aurea´	 - 46 ks
Salvia officinalis ´Purpurascens´ - 	46 ks
Santolia chamaecyparissus 	 - 26 ks
Satureja montana	 - 22 ks
Thymus pulegioides ´Tabor´ 	 - 34 ks; Tyhmus x citriodorus ´Aureus´  - 	24 ks
</t>
  </si>
  <si>
    <t>Ochrana dřevin oplocením - NEUZNATELNÉ N.</t>
  </si>
  <si>
    <t>123</t>
  </si>
  <si>
    <t>Ochrana dřevin před okusem z drát.pletiva v rovině (strom 10/12; strom 16/18)</t>
  </si>
  <si>
    <t>11_1_</t>
  </si>
  <si>
    <t>124</t>
  </si>
  <si>
    <t>Ochrana dřevin před okusem z drát.pletiva v rovině (jehličnaté)</t>
  </si>
  <si>
    <t>125</t>
  </si>
  <si>
    <t>184901112R00</t>
  </si>
  <si>
    <t>Osazení kůlů oplocenky, dl. kůlů do 3 m (jehličnany)</t>
  </si>
  <si>
    <t>126</t>
  </si>
  <si>
    <t>11_9_</t>
  </si>
  <si>
    <t>127</t>
  </si>
  <si>
    <t>Pozinkované pletivo, výška 150 cm, oko 50 mm, balení 25m (131 ksx 0,5m/strom) (strom 10/12; strom 16/18)</t>
  </si>
  <si>
    <t>11_Z_</t>
  </si>
  <si>
    <t>128</t>
  </si>
  <si>
    <t>Pozinkované pletivo, výška 150 cm, oko 50 mm, dtrát 2,5 mm, balení 25m (312 ks x 3m) (strom jehličnatý)</t>
  </si>
  <si>
    <t>oplocenka - kůl 2ks, 3m pletivo / strom</t>
  </si>
  <si>
    <t>129</t>
  </si>
  <si>
    <t>Kůl (průměr 6cm, frézovaný s fazetou a špicí, impregnovaný, 2m), oplocenka jehličnany (312 ks x 2ks)</t>
  </si>
  <si>
    <t>Přípravné práce - NEUZNATELNÉ N.</t>
  </si>
  <si>
    <t>130</t>
  </si>
  <si>
    <t>Vytýčení inženýrských sítí</t>
  </si>
  <si>
    <t>12_1_</t>
  </si>
  <si>
    <t>12_</t>
  </si>
  <si>
    <t>Celkem:</t>
  </si>
  <si>
    <t>Pojištění+bank.záruka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</si>
</sst>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008080"/>
        <bgColor rgb="FF00808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3" fillId="0" borderId="68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69" xfId="0" applyNumberFormat="1" applyFont="1" applyFill="1" applyBorder="1" applyAlignment="1" applyProtection="1">
      <alignment horizontal="center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2" fillId="4" borderId="71" xfId="0" applyNumberFormat="1" applyFont="1" applyFill="1" applyBorder="1" applyAlignment="1" applyProtection="1">
      <alignment horizontal="left" vertical="center"/>
    </xf>
    <xf numFmtId="0" fontId="3" fillId="4" borderId="40" xfId="0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left" vertical="center"/>
    </xf>
    <xf numFmtId="4" fontId="3" fillId="4" borderId="40" xfId="0" applyNumberFormat="1" applyFont="1" applyFill="1" applyBorder="1" applyAlignment="1" applyProtection="1">
      <alignment horizontal="right" vertical="center"/>
    </xf>
    <xf numFmtId="0" fontId="3" fillId="4" borderId="72" xfId="0" applyNumberFormat="1" applyFont="1" applyFill="1" applyBorder="1" applyAlignment="1" applyProtection="1">
      <alignment horizontal="right" vertical="center"/>
    </xf>
    <xf numFmtId="0" fontId="2" fillId="3" borderId="5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3" fillId="3" borderId="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2" fillId="4" borderId="5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</xf>
    <xf numFmtId="4" fontId="3" fillId="4" borderId="0" xfId="0" applyNumberFormat="1" applyFont="1" applyFill="1" applyBorder="1" applyAlignment="1" applyProtection="1">
      <alignment horizontal="right" vertical="center"/>
    </xf>
    <xf numFmtId="0" fontId="3" fillId="4" borderId="6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4" fontId="3" fillId="0" borderId="73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4" borderId="40" xfId="0" applyNumberFormat="1" applyFont="1" applyFill="1" applyBorder="1" applyAlignment="1" applyProtection="1">
      <alignment horizontal="left" vertical="center" wrapText="1"/>
    </xf>
    <xf numFmtId="0" fontId="3" fillId="4" borderId="4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0" workbookViewId="0">
      <selection activeCell="D17" sqref="D17:E1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12" t="s">
        <v>1</v>
      </c>
      <c r="B2" s="113"/>
      <c r="C2" s="107" t="str">
        <f>'Stavební rozpočet'!C2</f>
        <v>Odborný léčebný ústav Jevíčko, revitalizace parkového areálu</v>
      </c>
      <c r="D2" s="108"/>
      <c r="E2" s="104" t="s">
        <v>2</v>
      </c>
      <c r="F2" s="104" t="str">
        <f>'Stavební rozpočet'!I2</f>
        <v>Pardubický kraj</v>
      </c>
      <c r="G2" s="113"/>
      <c r="H2" s="104" t="s">
        <v>3</v>
      </c>
      <c r="I2" s="115" t="s">
        <v>4</v>
      </c>
    </row>
    <row r="3" spans="1:9" ht="25.5" customHeight="1" x14ac:dyDescent="0.25">
      <c r="A3" s="114"/>
      <c r="B3" s="67"/>
      <c r="C3" s="109"/>
      <c r="D3" s="109"/>
      <c r="E3" s="67"/>
      <c r="F3" s="67"/>
      <c r="G3" s="67"/>
      <c r="H3" s="67"/>
      <c r="I3" s="116"/>
    </row>
    <row r="4" spans="1:9" x14ac:dyDescent="0.25">
      <c r="A4" s="105" t="s">
        <v>5</v>
      </c>
      <c r="B4" s="67"/>
      <c r="C4" s="66" t="str">
        <f>'Stavební rozpočet'!C4</f>
        <v>Vegetační úpravy - UZNATELNÉ NÁKLADY, NEUZNATELNÉ NÁKLADY</v>
      </c>
      <c r="D4" s="67"/>
      <c r="E4" s="66" t="s">
        <v>6</v>
      </c>
      <c r="F4" s="66" t="str">
        <f>'Stavební rozpočet'!I4</f>
        <v>Ing. Přemysl Krejčiřík, Ph.D.</v>
      </c>
      <c r="G4" s="67"/>
      <c r="H4" s="66" t="s">
        <v>3</v>
      </c>
      <c r="I4" s="116" t="s">
        <v>7</v>
      </c>
    </row>
    <row r="5" spans="1:9" ht="25.5" customHeight="1" x14ac:dyDescent="0.25">
      <c r="A5" s="114"/>
      <c r="B5" s="67"/>
      <c r="C5" s="67"/>
      <c r="D5" s="67"/>
      <c r="E5" s="67"/>
      <c r="F5" s="67"/>
      <c r="G5" s="67"/>
      <c r="H5" s="67"/>
      <c r="I5" s="116"/>
    </row>
    <row r="6" spans="1:9" x14ac:dyDescent="0.25">
      <c r="A6" s="105" t="s">
        <v>8</v>
      </c>
      <c r="B6" s="67"/>
      <c r="C6" s="66" t="str">
        <f>'Stavební rozpočet'!C6</f>
        <v>Jevíčko</v>
      </c>
      <c r="D6" s="67"/>
      <c r="E6" s="66" t="s">
        <v>9</v>
      </c>
      <c r="F6" s="66" t="str">
        <f>'Stavební rozpočet'!I6</f>
        <v> </v>
      </c>
      <c r="G6" s="67"/>
      <c r="H6" s="66" t="s">
        <v>3</v>
      </c>
      <c r="I6" s="116" t="s">
        <v>4</v>
      </c>
    </row>
    <row r="7" spans="1:9" ht="15" customHeight="1" x14ac:dyDescent="0.25">
      <c r="A7" s="114"/>
      <c r="B7" s="67"/>
      <c r="C7" s="67"/>
      <c r="D7" s="67"/>
      <c r="E7" s="67"/>
      <c r="F7" s="67"/>
      <c r="G7" s="67"/>
      <c r="H7" s="67"/>
      <c r="I7" s="116"/>
    </row>
    <row r="8" spans="1:9" x14ac:dyDescent="0.25">
      <c r="A8" s="105" t="s">
        <v>10</v>
      </c>
      <c r="B8" s="67"/>
      <c r="C8" s="66" t="str">
        <f>'Stavební rozpočet'!G4</f>
        <v xml:space="preserve"> </v>
      </c>
      <c r="D8" s="67"/>
      <c r="E8" s="66" t="s">
        <v>11</v>
      </c>
      <c r="F8" s="66" t="str">
        <f>'Stavební rozpočet'!G6</f>
        <v xml:space="preserve"> </v>
      </c>
      <c r="G8" s="67"/>
      <c r="H8" s="67" t="s">
        <v>12</v>
      </c>
      <c r="I8" s="117">
        <v>130</v>
      </c>
    </row>
    <row r="9" spans="1:9" x14ac:dyDescent="0.25">
      <c r="A9" s="114"/>
      <c r="B9" s="67"/>
      <c r="C9" s="67"/>
      <c r="D9" s="67"/>
      <c r="E9" s="67"/>
      <c r="F9" s="67"/>
      <c r="G9" s="67"/>
      <c r="H9" s="67"/>
      <c r="I9" s="116"/>
    </row>
    <row r="10" spans="1:9" x14ac:dyDescent="0.25">
      <c r="A10" s="105" t="s">
        <v>13</v>
      </c>
      <c r="B10" s="67"/>
      <c r="C10" s="66" t="str">
        <f>'Stavební rozpočet'!C8</f>
        <v xml:space="preserve"> </v>
      </c>
      <c r="D10" s="67"/>
      <c r="E10" s="66" t="s">
        <v>14</v>
      </c>
      <c r="F10" s="66" t="str">
        <f>'Stavební rozpočet'!I8</f>
        <v>Ateliér Krejčiříkovi</v>
      </c>
      <c r="G10" s="67"/>
      <c r="H10" s="67" t="s">
        <v>15</v>
      </c>
      <c r="I10" s="98" t="str">
        <f>'Stavební rozpočet'!G8</f>
        <v>21.07.2023</v>
      </c>
    </row>
    <row r="11" spans="1:9" x14ac:dyDescent="0.25">
      <c r="A11" s="106"/>
      <c r="B11" s="103"/>
      <c r="C11" s="103"/>
      <c r="D11" s="103"/>
      <c r="E11" s="103"/>
      <c r="F11" s="103"/>
      <c r="G11" s="103"/>
      <c r="H11" s="103"/>
      <c r="I11" s="99"/>
    </row>
    <row r="12" spans="1:9" ht="23.25" x14ac:dyDescent="0.25">
      <c r="A12" s="100" t="s">
        <v>16</v>
      </c>
      <c r="B12" s="100"/>
      <c r="C12" s="100"/>
      <c r="D12" s="100"/>
      <c r="E12" s="100"/>
      <c r="F12" s="100"/>
      <c r="G12" s="100"/>
      <c r="H12" s="100"/>
      <c r="I12" s="100"/>
    </row>
    <row r="13" spans="1:9" ht="26.25" customHeight="1" x14ac:dyDescent="0.25">
      <c r="A13" s="6" t="s">
        <v>17</v>
      </c>
      <c r="B13" s="101" t="s">
        <v>18</v>
      </c>
      <c r="C13" s="102"/>
      <c r="D13" s="7" t="s">
        <v>19</v>
      </c>
      <c r="E13" s="101" t="s">
        <v>20</v>
      </c>
      <c r="F13" s="102"/>
      <c r="G13" s="7" t="s">
        <v>21</v>
      </c>
      <c r="H13" s="101" t="s">
        <v>22</v>
      </c>
      <c r="I13" s="102"/>
    </row>
    <row r="14" spans="1:9" ht="15.75" x14ac:dyDescent="0.25">
      <c r="A14" s="8" t="s">
        <v>23</v>
      </c>
      <c r="B14" s="9" t="s">
        <v>24</v>
      </c>
      <c r="C14" s="10">
        <f>SUM('Stavební rozpočet'!AB12:AB214)</f>
        <v>0</v>
      </c>
      <c r="D14" s="88" t="s">
        <v>25</v>
      </c>
      <c r="E14" s="89"/>
      <c r="F14" s="10">
        <f>VORN!I15</f>
        <v>0</v>
      </c>
      <c r="G14" s="88" t="s">
        <v>26</v>
      </c>
      <c r="H14" s="89"/>
      <c r="I14" s="11">
        <f>VORN!I21</f>
        <v>0</v>
      </c>
    </row>
    <row r="15" spans="1:9" ht="15.75" x14ac:dyDescent="0.25">
      <c r="A15" s="12" t="s">
        <v>4</v>
      </c>
      <c r="B15" s="9" t="s">
        <v>27</v>
      </c>
      <c r="C15" s="10">
        <f>SUM('Stavební rozpočet'!AC12:AC214)</f>
        <v>0</v>
      </c>
      <c r="D15" s="88" t="s">
        <v>28</v>
      </c>
      <c r="E15" s="89"/>
      <c r="F15" s="10">
        <f>VORN!I16</f>
        <v>0</v>
      </c>
      <c r="G15" s="88" t="s">
        <v>29</v>
      </c>
      <c r="H15" s="89"/>
      <c r="I15" s="11">
        <f>VORN!I22</f>
        <v>0</v>
      </c>
    </row>
    <row r="16" spans="1:9" ht="15.75" x14ac:dyDescent="0.25">
      <c r="A16" s="8" t="s">
        <v>30</v>
      </c>
      <c r="B16" s="9" t="s">
        <v>24</v>
      </c>
      <c r="C16" s="10">
        <f>SUM('Stavební rozpočet'!AD12:AD214)</f>
        <v>0</v>
      </c>
      <c r="D16" s="88" t="s">
        <v>524</v>
      </c>
      <c r="E16" s="89"/>
      <c r="F16" s="10">
        <f>VORN!I17</f>
        <v>0</v>
      </c>
      <c r="G16" s="88" t="s">
        <v>32</v>
      </c>
      <c r="H16" s="89"/>
      <c r="I16" s="11">
        <f>VORN!I23</f>
        <v>0</v>
      </c>
    </row>
    <row r="17" spans="1:9" ht="15.75" x14ac:dyDescent="0.25">
      <c r="A17" s="12" t="s">
        <v>4</v>
      </c>
      <c r="B17" s="9" t="s">
        <v>27</v>
      </c>
      <c r="C17" s="10">
        <f>SUM('Stavební rozpočet'!AE12:AE214)</f>
        <v>0</v>
      </c>
      <c r="D17" s="88" t="s">
        <v>4</v>
      </c>
      <c r="E17" s="89"/>
      <c r="F17" s="11" t="s">
        <v>4</v>
      </c>
      <c r="G17" s="88" t="s">
        <v>33</v>
      </c>
      <c r="H17" s="89"/>
      <c r="I17" s="11">
        <f>VORN!I24</f>
        <v>0</v>
      </c>
    </row>
    <row r="18" spans="1:9" ht="15.75" x14ac:dyDescent="0.25">
      <c r="A18" s="8" t="s">
        <v>34</v>
      </c>
      <c r="B18" s="9" t="s">
        <v>24</v>
      </c>
      <c r="C18" s="10">
        <f>SUM('Stavební rozpočet'!AF12:AF214)</f>
        <v>0</v>
      </c>
      <c r="D18" s="88" t="s">
        <v>4</v>
      </c>
      <c r="E18" s="89"/>
      <c r="F18" s="11" t="s">
        <v>4</v>
      </c>
      <c r="G18" s="88" t="s">
        <v>35</v>
      </c>
      <c r="H18" s="89"/>
      <c r="I18" s="11">
        <f>VORN!I25</f>
        <v>0</v>
      </c>
    </row>
    <row r="19" spans="1:9" ht="15.75" x14ac:dyDescent="0.25">
      <c r="A19" s="12" t="s">
        <v>4</v>
      </c>
      <c r="B19" s="9" t="s">
        <v>27</v>
      </c>
      <c r="C19" s="10">
        <f>SUM('Stavební rozpočet'!AG12:AG214)</f>
        <v>0</v>
      </c>
      <c r="D19" s="88" t="s">
        <v>4</v>
      </c>
      <c r="E19" s="89"/>
      <c r="F19" s="11" t="s">
        <v>4</v>
      </c>
      <c r="G19" s="88" t="s">
        <v>36</v>
      </c>
      <c r="H19" s="89"/>
      <c r="I19" s="11">
        <f>VORN!I26</f>
        <v>0</v>
      </c>
    </row>
    <row r="20" spans="1:9" ht="15.75" x14ac:dyDescent="0.25">
      <c r="A20" s="80" t="s">
        <v>37</v>
      </c>
      <c r="B20" s="81"/>
      <c r="C20" s="10">
        <f>SUM('Stavební rozpočet'!AH12:AH214)</f>
        <v>0</v>
      </c>
      <c r="D20" s="88" t="s">
        <v>4</v>
      </c>
      <c r="E20" s="89"/>
      <c r="F20" s="11" t="s">
        <v>4</v>
      </c>
      <c r="G20" s="88" t="s">
        <v>4</v>
      </c>
      <c r="H20" s="89"/>
      <c r="I20" s="11" t="s">
        <v>4</v>
      </c>
    </row>
    <row r="21" spans="1:9" ht="15.75" x14ac:dyDescent="0.25">
      <c r="A21" s="95" t="s">
        <v>38</v>
      </c>
      <c r="B21" s="96"/>
      <c r="C21" s="13">
        <f>SUM('Stavební rozpočet'!Z12:Z214)</f>
        <v>0</v>
      </c>
      <c r="D21" s="90" t="s">
        <v>4</v>
      </c>
      <c r="E21" s="91"/>
      <c r="F21" s="14" t="s">
        <v>4</v>
      </c>
      <c r="G21" s="90" t="s">
        <v>4</v>
      </c>
      <c r="H21" s="91"/>
      <c r="I21" s="14" t="s">
        <v>4</v>
      </c>
    </row>
    <row r="22" spans="1:9" ht="16.5" customHeight="1" x14ac:dyDescent="0.25">
      <c r="A22" s="97" t="s">
        <v>39</v>
      </c>
      <c r="B22" s="93"/>
      <c r="C22" s="15">
        <f>SUM(C14:C21)</f>
        <v>0</v>
      </c>
      <c r="D22" s="92" t="s">
        <v>40</v>
      </c>
      <c r="E22" s="93"/>
      <c r="F22" s="15">
        <f>SUM(F14:F21)</f>
        <v>0</v>
      </c>
      <c r="G22" s="92" t="s">
        <v>41</v>
      </c>
      <c r="H22" s="93"/>
      <c r="I22" s="15">
        <f>SUM(I14:I21)</f>
        <v>0</v>
      </c>
    </row>
    <row r="23" spans="1:9" ht="15.75" x14ac:dyDescent="0.25">
      <c r="D23" s="80" t="s">
        <v>42</v>
      </c>
      <c r="E23" s="81"/>
      <c r="F23" s="16">
        <v>0</v>
      </c>
      <c r="G23" s="94" t="s">
        <v>43</v>
      </c>
      <c r="H23" s="81"/>
      <c r="I23" s="10">
        <v>0</v>
      </c>
    </row>
    <row r="24" spans="1:9" ht="15.75" x14ac:dyDescent="0.25">
      <c r="G24" s="80" t="s">
        <v>44</v>
      </c>
      <c r="H24" s="81"/>
      <c r="I24" s="13">
        <f>vorn_sum</f>
        <v>0</v>
      </c>
    </row>
    <row r="25" spans="1:9" ht="15.75" x14ac:dyDescent="0.25">
      <c r="G25" s="80" t="s">
        <v>45</v>
      </c>
      <c r="H25" s="81"/>
      <c r="I25" s="15">
        <v>0</v>
      </c>
    </row>
    <row r="27" spans="1:9" ht="15.75" x14ac:dyDescent="0.25">
      <c r="A27" s="82" t="s">
        <v>46</v>
      </c>
      <c r="B27" s="83"/>
      <c r="C27" s="17">
        <f>SUM('Stavební rozpočet'!AJ12:AJ214)</f>
        <v>0</v>
      </c>
    </row>
    <row r="28" spans="1:9" ht="15.75" x14ac:dyDescent="0.25">
      <c r="A28" s="84" t="s">
        <v>47</v>
      </c>
      <c r="B28" s="85"/>
      <c r="C28" s="18">
        <f>SUM('Stavební rozpočet'!AK12:AK214)</f>
        <v>0</v>
      </c>
      <c r="D28" s="86" t="s">
        <v>48</v>
      </c>
      <c r="E28" s="83"/>
      <c r="F28" s="17">
        <f>ROUND(C28*(12/100),2)</f>
        <v>0</v>
      </c>
      <c r="G28" s="86" t="s">
        <v>49</v>
      </c>
      <c r="H28" s="83"/>
      <c r="I28" s="17">
        <f>SUM(C27:C29)</f>
        <v>0</v>
      </c>
    </row>
    <row r="29" spans="1:9" ht="15.75" x14ac:dyDescent="0.25">
      <c r="A29" s="84" t="s">
        <v>50</v>
      </c>
      <c r="B29" s="85"/>
      <c r="C29" s="18">
        <f>SUM('Stavební rozpočet'!AL12:AL214)+(F22+I22+F23+I23+I24+I25)</f>
        <v>0</v>
      </c>
      <c r="D29" s="87" t="s">
        <v>51</v>
      </c>
      <c r="E29" s="85"/>
      <c r="F29" s="18">
        <f>ROUND(C29*(21/100),2)</f>
        <v>0</v>
      </c>
      <c r="G29" s="87" t="s">
        <v>52</v>
      </c>
      <c r="H29" s="85"/>
      <c r="I29" s="18">
        <f>SUM(F28:F29)+I28</f>
        <v>0</v>
      </c>
    </row>
    <row r="31" spans="1:9" x14ac:dyDescent="0.25">
      <c r="A31" s="77" t="s">
        <v>53</v>
      </c>
      <c r="B31" s="69"/>
      <c r="C31" s="70"/>
      <c r="D31" s="68" t="s">
        <v>54</v>
      </c>
      <c r="E31" s="69"/>
      <c r="F31" s="70"/>
      <c r="G31" s="68" t="s">
        <v>55</v>
      </c>
      <c r="H31" s="69"/>
      <c r="I31" s="70"/>
    </row>
    <row r="32" spans="1:9" x14ac:dyDescent="0.25">
      <c r="A32" s="78" t="s">
        <v>4</v>
      </c>
      <c r="B32" s="72"/>
      <c r="C32" s="73"/>
      <c r="D32" s="71" t="s">
        <v>4</v>
      </c>
      <c r="E32" s="72"/>
      <c r="F32" s="73"/>
      <c r="G32" s="71" t="s">
        <v>4</v>
      </c>
      <c r="H32" s="72"/>
      <c r="I32" s="73"/>
    </row>
    <row r="33" spans="1:9" x14ac:dyDescent="0.25">
      <c r="A33" s="78" t="s">
        <v>4</v>
      </c>
      <c r="B33" s="72"/>
      <c r="C33" s="73"/>
      <c r="D33" s="71" t="s">
        <v>4</v>
      </c>
      <c r="E33" s="72"/>
      <c r="F33" s="73"/>
      <c r="G33" s="71" t="s">
        <v>4</v>
      </c>
      <c r="H33" s="72"/>
      <c r="I33" s="73"/>
    </row>
    <row r="34" spans="1:9" x14ac:dyDescent="0.25">
      <c r="A34" s="78" t="s">
        <v>4</v>
      </c>
      <c r="B34" s="72"/>
      <c r="C34" s="73"/>
      <c r="D34" s="71" t="s">
        <v>4</v>
      </c>
      <c r="E34" s="72"/>
      <c r="F34" s="73"/>
      <c r="G34" s="71" t="s">
        <v>4</v>
      </c>
      <c r="H34" s="72"/>
      <c r="I34" s="73"/>
    </row>
    <row r="35" spans="1:9" x14ac:dyDescent="0.25">
      <c r="A35" s="79" t="s">
        <v>56</v>
      </c>
      <c r="B35" s="75"/>
      <c r="C35" s="76"/>
      <c r="D35" s="74" t="s">
        <v>56</v>
      </c>
      <c r="E35" s="75"/>
      <c r="F35" s="76"/>
      <c r="G35" s="74" t="s">
        <v>56</v>
      </c>
      <c r="H35" s="75"/>
      <c r="I35" s="76"/>
    </row>
    <row r="36" spans="1:9" x14ac:dyDescent="0.25">
      <c r="A36" s="19" t="s">
        <v>57</v>
      </c>
    </row>
    <row r="37" spans="1:9" ht="12.75" customHeight="1" x14ac:dyDescent="0.25">
      <c r="A37" s="66" t="s">
        <v>4</v>
      </c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0" t="s">
        <v>58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12" t="s">
        <v>1</v>
      </c>
      <c r="B2" s="113"/>
      <c r="C2" s="107" t="str">
        <f>'Stavební rozpočet'!C2</f>
        <v>Odborný léčebný ústav Jevíčko, revitalizace parkového areálu</v>
      </c>
      <c r="D2" s="108"/>
      <c r="E2" s="104" t="s">
        <v>2</v>
      </c>
      <c r="F2" s="104" t="str">
        <f>'Stavební rozpočet'!I2</f>
        <v>Pardubický kraj</v>
      </c>
      <c r="G2" s="113"/>
      <c r="H2" s="104" t="s">
        <v>3</v>
      </c>
      <c r="I2" s="115" t="s">
        <v>4</v>
      </c>
    </row>
    <row r="3" spans="1:9" ht="25.5" customHeight="1" x14ac:dyDescent="0.25">
      <c r="A3" s="114"/>
      <c r="B3" s="67"/>
      <c r="C3" s="109"/>
      <c r="D3" s="109"/>
      <c r="E3" s="67"/>
      <c r="F3" s="67"/>
      <c r="G3" s="67"/>
      <c r="H3" s="67"/>
      <c r="I3" s="116"/>
    </row>
    <row r="4" spans="1:9" x14ac:dyDescent="0.25">
      <c r="A4" s="105" t="s">
        <v>5</v>
      </c>
      <c r="B4" s="67"/>
      <c r="C4" s="66" t="str">
        <f>'Stavební rozpočet'!C4</f>
        <v>Vegetační úpravy - UZNATELNÉ NÁKLADY, NEUZNATELNÉ NÁKLADY</v>
      </c>
      <c r="D4" s="67"/>
      <c r="E4" s="66" t="s">
        <v>6</v>
      </c>
      <c r="F4" s="66" t="str">
        <f>'Stavební rozpočet'!I4</f>
        <v>Ing. Přemysl Krejčiřík, Ph.D.</v>
      </c>
      <c r="G4" s="67"/>
      <c r="H4" s="66" t="s">
        <v>3</v>
      </c>
      <c r="I4" s="116" t="s">
        <v>7</v>
      </c>
    </row>
    <row r="5" spans="1:9" ht="25.5" customHeight="1" x14ac:dyDescent="0.25">
      <c r="A5" s="114"/>
      <c r="B5" s="67"/>
      <c r="C5" s="67"/>
      <c r="D5" s="67"/>
      <c r="E5" s="67"/>
      <c r="F5" s="67"/>
      <c r="G5" s="67"/>
      <c r="H5" s="67"/>
      <c r="I5" s="116"/>
    </row>
    <row r="6" spans="1:9" x14ac:dyDescent="0.25">
      <c r="A6" s="105" t="s">
        <v>8</v>
      </c>
      <c r="B6" s="67"/>
      <c r="C6" s="66" t="str">
        <f>'Stavební rozpočet'!C6</f>
        <v>Jevíčko</v>
      </c>
      <c r="D6" s="67"/>
      <c r="E6" s="66" t="s">
        <v>9</v>
      </c>
      <c r="F6" s="66" t="str">
        <f>'Stavební rozpočet'!I6</f>
        <v> </v>
      </c>
      <c r="G6" s="67"/>
      <c r="H6" s="66" t="s">
        <v>3</v>
      </c>
      <c r="I6" s="116" t="s">
        <v>4</v>
      </c>
    </row>
    <row r="7" spans="1:9" ht="15" customHeight="1" x14ac:dyDescent="0.25">
      <c r="A7" s="114"/>
      <c r="B7" s="67"/>
      <c r="C7" s="67"/>
      <c r="D7" s="67"/>
      <c r="E7" s="67"/>
      <c r="F7" s="67"/>
      <c r="G7" s="67"/>
      <c r="H7" s="67"/>
      <c r="I7" s="116"/>
    </row>
    <row r="8" spans="1:9" x14ac:dyDescent="0.25">
      <c r="A8" s="105" t="s">
        <v>10</v>
      </c>
      <c r="B8" s="67"/>
      <c r="C8" s="66" t="str">
        <f>'Stavební rozpočet'!G4</f>
        <v xml:space="preserve"> </v>
      </c>
      <c r="D8" s="67"/>
      <c r="E8" s="66" t="s">
        <v>11</v>
      </c>
      <c r="F8" s="66" t="str">
        <f>'Stavební rozpočet'!G6</f>
        <v xml:space="preserve"> </v>
      </c>
      <c r="G8" s="67"/>
      <c r="H8" s="67" t="s">
        <v>12</v>
      </c>
      <c r="I8" s="117">
        <v>130</v>
      </c>
    </row>
    <row r="9" spans="1:9" x14ac:dyDescent="0.25">
      <c r="A9" s="114"/>
      <c r="B9" s="67"/>
      <c r="C9" s="67"/>
      <c r="D9" s="67"/>
      <c r="E9" s="67"/>
      <c r="F9" s="67"/>
      <c r="G9" s="67"/>
      <c r="H9" s="67"/>
      <c r="I9" s="116"/>
    </row>
    <row r="10" spans="1:9" x14ac:dyDescent="0.25">
      <c r="A10" s="105" t="s">
        <v>13</v>
      </c>
      <c r="B10" s="67"/>
      <c r="C10" s="66" t="str">
        <f>'Stavební rozpočet'!C8</f>
        <v xml:space="preserve"> </v>
      </c>
      <c r="D10" s="67"/>
      <c r="E10" s="66" t="s">
        <v>14</v>
      </c>
      <c r="F10" s="66" t="str">
        <f>'Stavební rozpočet'!I8</f>
        <v>Ateliér Krejčiříkovi</v>
      </c>
      <c r="G10" s="67"/>
      <c r="H10" s="67" t="s">
        <v>15</v>
      </c>
      <c r="I10" s="98" t="str">
        <f>'Stavební rozpočet'!G8</f>
        <v>21.07.2023</v>
      </c>
    </row>
    <row r="11" spans="1:9" x14ac:dyDescent="0.25">
      <c r="A11" s="106"/>
      <c r="B11" s="103"/>
      <c r="C11" s="103"/>
      <c r="D11" s="103"/>
      <c r="E11" s="103"/>
      <c r="F11" s="103"/>
      <c r="G11" s="103"/>
      <c r="H11" s="103"/>
      <c r="I11" s="99"/>
    </row>
    <row r="13" spans="1:9" ht="15.75" x14ac:dyDescent="0.25">
      <c r="A13" s="127" t="s">
        <v>59</v>
      </c>
      <c r="B13" s="127"/>
      <c r="C13" s="127"/>
      <c r="D13" s="127"/>
      <c r="E13" s="127"/>
    </row>
    <row r="14" spans="1:9" x14ac:dyDescent="0.25">
      <c r="A14" s="128" t="s">
        <v>60</v>
      </c>
      <c r="B14" s="129"/>
      <c r="C14" s="129"/>
      <c r="D14" s="129"/>
      <c r="E14" s="130"/>
      <c r="F14" s="20" t="s">
        <v>61</v>
      </c>
      <c r="G14" s="20" t="s">
        <v>62</v>
      </c>
      <c r="H14" s="20" t="s">
        <v>63</v>
      </c>
      <c r="I14" s="20" t="s">
        <v>61</v>
      </c>
    </row>
    <row r="15" spans="1:9" x14ac:dyDescent="0.25">
      <c r="A15" s="134" t="s">
        <v>25</v>
      </c>
      <c r="B15" s="135"/>
      <c r="C15" s="135"/>
      <c r="D15" s="135"/>
      <c r="E15" s="136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4" t="s">
        <v>28</v>
      </c>
      <c r="B16" s="135"/>
      <c r="C16" s="135"/>
      <c r="D16" s="135"/>
      <c r="E16" s="136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31" t="s">
        <v>31</v>
      </c>
      <c r="B17" s="132"/>
      <c r="C17" s="132"/>
      <c r="D17" s="132"/>
      <c r="E17" s="133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18" t="s">
        <v>64</v>
      </c>
      <c r="B18" s="119"/>
      <c r="C18" s="119"/>
      <c r="D18" s="119"/>
      <c r="E18" s="120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8" t="s">
        <v>22</v>
      </c>
      <c r="B20" s="129"/>
      <c r="C20" s="129"/>
      <c r="D20" s="129"/>
      <c r="E20" s="130"/>
      <c r="F20" s="20" t="s">
        <v>61</v>
      </c>
      <c r="G20" s="20" t="s">
        <v>62</v>
      </c>
      <c r="H20" s="20" t="s">
        <v>63</v>
      </c>
      <c r="I20" s="20" t="s">
        <v>61</v>
      </c>
    </row>
    <row r="21" spans="1:9" x14ac:dyDescent="0.25">
      <c r="A21" s="134" t="s">
        <v>26</v>
      </c>
      <c r="B21" s="135"/>
      <c r="C21" s="135"/>
      <c r="D21" s="135"/>
      <c r="E21" s="136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34" t="s">
        <v>29</v>
      </c>
      <c r="B22" s="135"/>
      <c r="C22" s="135"/>
      <c r="D22" s="135"/>
      <c r="E22" s="136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34" t="s">
        <v>32</v>
      </c>
      <c r="B23" s="135"/>
      <c r="C23" s="135"/>
      <c r="D23" s="135"/>
      <c r="E23" s="136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34" t="s">
        <v>33</v>
      </c>
      <c r="B24" s="135"/>
      <c r="C24" s="135"/>
      <c r="D24" s="135"/>
      <c r="E24" s="136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34" t="s">
        <v>35</v>
      </c>
      <c r="B25" s="135"/>
      <c r="C25" s="135"/>
      <c r="D25" s="135"/>
      <c r="E25" s="136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31" t="s">
        <v>36</v>
      </c>
      <c r="B26" s="132"/>
      <c r="C26" s="132"/>
      <c r="D26" s="132"/>
      <c r="E26" s="133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18" t="s">
        <v>65</v>
      </c>
      <c r="B27" s="119"/>
      <c r="C27" s="119"/>
      <c r="D27" s="119"/>
      <c r="E27" s="120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21" t="s">
        <v>66</v>
      </c>
      <c r="B29" s="122"/>
      <c r="C29" s="122"/>
      <c r="D29" s="122"/>
      <c r="E29" s="123"/>
      <c r="F29" s="124">
        <f>I18+I27</f>
        <v>0</v>
      </c>
      <c r="G29" s="125"/>
      <c r="H29" s="125"/>
      <c r="I29" s="126"/>
    </row>
    <row r="33" spans="1:9" ht="15.75" x14ac:dyDescent="0.25">
      <c r="A33" s="127" t="s">
        <v>67</v>
      </c>
      <c r="B33" s="127"/>
      <c r="C33" s="127"/>
      <c r="D33" s="127"/>
      <c r="E33" s="127"/>
    </row>
    <row r="34" spans="1:9" x14ac:dyDescent="0.25">
      <c r="A34" s="128" t="s">
        <v>68</v>
      </c>
      <c r="B34" s="129"/>
      <c r="C34" s="129"/>
      <c r="D34" s="129"/>
      <c r="E34" s="130"/>
      <c r="F34" s="20" t="s">
        <v>61</v>
      </c>
      <c r="G34" s="20" t="s">
        <v>62</v>
      </c>
      <c r="H34" s="20" t="s">
        <v>63</v>
      </c>
      <c r="I34" s="20" t="s">
        <v>61</v>
      </c>
    </row>
    <row r="35" spans="1:9" x14ac:dyDescent="0.25">
      <c r="A35" s="131" t="s">
        <v>4</v>
      </c>
      <c r="B35" s="132"/>
      <c r="C35" s="132"/>
      <c r="D35" s="132"/>
      <c r="E35" s="133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18" t="s">
        <v>69</v>
      </c>
      <c r="B36" s="119"/>
      <c r="C36" s="119"/>
      <c r="D36" s="119"/>
      <c r="E36" s="120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7"/>
  <sheetViews>
    <sheetView workbookViewId="0">
      <pane ySplit="11" topLeftCell="A12" activePane="bottomLeft" state="frozen"/>
      <selection pane="bottomLeft" activeCell="A217" sqref="A217:K217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8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12" t="s">
        <v>1</v>
      </c>
      <c r="B2" s="113"/>
      <c r="C2" s="107" t="s">
        <v>71</v>
      </c>
      <c r="D2" s="108"/>
      <c r="E2" s="113" t="s">
        <v>72</v>
      </c>
      <c r="F2" s="113"/>
      <c r="G2" s="113" t="s">
        <v>73</v>
      </c>
      <c r="H2" s="104" t="s">
        <v>2</v>
      </c>
      <c r="I2" s="104" t="s">
        <v>74</v>
      </c>
      <c r="J2" s="113"/>
      <c r="K2" s="115"/>
    </row>
    <row r="3" spans="1:76" x14ac:dyDescent="0.25">
      <c r="A3" s="114"/>
      <c r="B3" s="67"/>
      <c r="C3" s="109"/>
      <c r="D3" s="109"/>
      <c r="E3" s="67"/>
      <c r="F3" s="67"/>
      <c r="G3" s="67"/>
      <c r="H3" s="67"/>
      <c r="I3" s="67"/>
      <c r="J3" s="67"/>
      <c r="K3" s="116"/>
    </row>
    <row r="4" spans="1:76" x14ac:dyDescent="0.25">
      <c r="A4" s="105" t="s">
        <v>5</v>
      </c>
      <c r="B4" s="67"/>
      <c r="C4" s="66" t="s">
        <v>75</v>
      </c>
      <c r="D4" s="67"/>
      <c r="E4" s="67" t="s">
        <v>10</v>
      </c>
      <c r="F4" s="67"/>
      <c r="G4" s="67" t="s">
        <v>73</v>
      </c>
      <c r="H4" s="66" t="s">
        <v>6</v>
      </c>
      <c r="I4" s="66" t="s">
        <v>76</v>
      </c>
      <c r="J4" s="67"/>
      <c r="K4" s="116"/>
    </row>
    <row r="5" spans="1:76" x14ac:dyDescent="0.25">
      <c r="A5" s="114"/>
      <c r="B5" s="67"/>
      <c r="C5" s="67"/>
      <c r="D5" s="67"/>
      <c r="E5" s="67"/>
      <c r="F5" s="67"/>
      <c r="G5" s="67"/>
      <c r="H5" s="67"/>
      <c r="I5" s="67"/>
      <c r="J5" s="67"/>
      <c r="K5" s="116"/>
    </row>
    <row r="6" spans="1:76" x14ac:dyDescent="0.25">
      <c r="A6" s="105" t="s">
        <v>8</v>
      </c>
      <c r="B6" s="67"/>
      <c r="C6" s="66" t="s">
        <v>77</v>
      </c>
      <c r="D6" s="67"/>
      <c r="E6" s="67" t="s">
        <v>11</v>
      </c>
      <c r="F6" s="67"/>
      <c r="G6" s="67" t="s">
        <v>73</v>
      </c>
      <c r="H6" s="66" t="s">
        <v>9</v>
      </c>
      <c r="I6" s="67" t="s">
        <v>78</v>
      </c>
      <c r="J6" s="67"/>
      <c r="K6" s="116"/>
    </row>
    <row r="7" spans="1:76" x14ac:dyDescent="0.25">
      <c r="A7" s="114"/>
      <c r="B7" s="67"/>
      <c r="C7" s="67"/>
      <c r="D7" s="67"/>
      <c r="E7" s="67"/>
      <c r="F7" s="67"/>
      <c r="G7" s="67"/>
      <c r="H7" s="67"/>
      <c r="I7" s="67"/>
      <c r="J7" s="67"/>
      <c r="K7" s="116"/>
    </row>
    <row r="8" spans="1:76" x14ac:dyDescent="0.25">
      <c r="A8" s="105" t="s">
        <v>13</v>
      </c>
      <c r="B8" s="67"/>
      <c r="C8" s="66" t="s">
        <v>73</v>
      </c>
      <c r="D8" s="67"/>
      <c r="E8" s="67" t="s">
        <v>79</v>
      </c>
      <c r="F8" s="67"/>
      <c r="G8" s="67" t="s">
        <v>80</v>
      </c>
      <c r="H8" s="66" t="s">
        <v>14</v>
      </c>
      <c r="I8" s="66" t="s">
        <v>81</v>
      </c>
      <c r="J8" s="67"/>
      <c r="K8" s="116"/>
    </row>
    <row r="9" spans="1:76" x14ac:dyDescent="0.25">
      <c r="A9" s="157"/>
      <c r="B9" s="153"/>
      <c r="C9" s="153"/>
      <c r="D9" s="153"/>
      <c r="E9" s="153"/>
      <c r="F9" s="153"/>
      <c r="G9" s="153"/>
      <c r="H9" s="153"/>
      <c r="I9" s="153"/>
      <c r="J9" s="153"/>
      <c r="K9" s="154"/>
    </row>
    <row r="10" spans="1:76" x14ac:dyDescent="0.25">
      <c r="A10" s="29" t="s">
        <v>82</v>
      </c>
      <c r="B10" s="30" t="s">
        <v>83</v>
      </c>
      <c r="C10" s="155" t="s">
        <v>84</v>
      </c>
      <c r="D10" s="156"/>
      <c r="E10" s="30" t="s">
        <v>85</v>
      </c>
      <c r="F10" s="31" t="s">
        <v>86</v>
      </c>
      <c r="G10" s="32" t="s">
        <v>87</v>
      </c>
      <c r="H10" s="148" t="s">
        <v>88</v>
      </c>
      <c r="I10" s="149"/>
      <c r="J10" s="150"/>
      <c r="K10" s="33" t="s">
        <v>89</v>
      </c>
      <c r="BK10" s="34" t="s">
        <v>90</v>
      </c>
      <c r="BL10" s="35" t="s">
        <v>91</v>
      </c>
      <c r="BW10" s="35" t="s">
        <v>92</v>
      </c>
    </row>
    <row r="11" spans="1:76" x14ac:dyDescent="0.25">
      <c r="A11" s="36" t="s">
        <v>73</v>
      </c>
      <c r="B11" s="37" t="s">
        <v>73</v>
      </c>
      <c r="C11" s="146" t="s">
        <v>93</v>
      </c>
      <c r="D11" s="147"/>
      <c r="E11" s="37" t="s">
        <v>73</v>
      </c>
      <c r="F11" s="37" t="s">
        <v>73</v>
      </c>
      <c r="G11" s="38" t="s">
        <v>94</v>
      </c>
      <c r="H11" s="39" t="s">
        <v>95</v>
      </c>
      <c r="I11" s="40" t="s">
        <v>27</v>
      </c>
      <c r="J11" s="41" t="s">
        <v>96</v>
      </c>
      <c r="K11" s="42" t="s">
        <v>97</v>
      </c>
      <c r="Z11" s="34" t="s">
        <v>98</v>
      </c>
      <c r="AA11" s="34" t="s">
        <v>99</v>
      </c>
      <c r="AB11" s="34" t="s">
        <v>100</v>
      </c>
      <c r="AC11" s="34" t="s">
        <v>101</v>
      </c>
      <c r="AD11" s="34" t="s">
        <v>102</v>
      </c>
      <c r="AE11" s="34" t="s">
        <v>103</v>
      </c>
      <c r="AF11" s="34" t="s">
        <v>104</v>
      </c>
      <c r="AG11" s="34" t="s">
        <v>105</v>
      </c>
      <c r="AH11" s="34" t="s">
        <v>106</v>
      </c>
      <c r="BH11" s="34" t="s">
        <v>107</v>
      </c>
      <c r="BI11" s="34" t="s">
        <v>108</v>
      </c>
      <c r="BJ11" s="34" t="s">
        <v>109</v>
      </c>
    </row>
    <row r="12" spans="1:76" x14ac:dyDescent="0.25">
      <c r="A12" s="43" t="s">
        <v>4</v>
      </c>
      <c r="B12" s="44" t="s">
        <v>4</v>
      </c>
      <c r="C12" s="151" t="s">
        <v>110</v>
      </c>
      <c r="D12" s="152"/>
      <c r="E12" s="45" t="s">
        <v>73</v>
      </c>
      <c r="F12" s="45" t="s">
        <v>73</v>
      </c>
      <c r="G12" s="45" t="s">
        <v>73</v>
      </c>
      <c r="H12" s="46">
        <f>H13</f>
        <v>0</v>
      </c>
      <c r="I12" s="46">
        <f>I13</f>
        <v>0</v>
      </c>
      <c r="J12" s="46">
        <f>J13</f>
        <v>0</v>
      </c>
      <c r="K12" s="47" t="s">
        <v>4</v>
      </c>
    </row>
    <row r="13" spans="1:76" x14ac:dyDescent="0.25">
      <c r="A13" s="48" t="s">
        <v>4</v>
      </c>
      <c r="B13" s="49" t="s">
        <v>111</v>
      </c>
      <c r="C13" s="143" t="s">
        <v>112</v>
      </c>
      <c r="D13" s="144"/>
      <c r="E13" s="50" t="s">
        <v>73</v>
      </c>
      <c r="F13" s="50" t="s">
        <v>73</v>
      </c>
      <c r="G13" s="50" t="s">
        <v>73</v>
      </c>
      <c r="H13" s="28">
        <f>SUM(H14:H42)</f>
        <v>0</v>
      </c>
      <c r="I13" s="28">
        <f>SUM(I14:I42)</f>
        <v>0</v>
      </c>
      <c r="J13" s="28">
        <f>SUM(J14:J42)</f>
        <v>0</v>
      </c>
      <c r="K13" s="51" t="s">
        <v>4</v>
      </c>
      <c r="AI13" s="34" t="s">
        <v>113</v>
      </c>
      <c r="AS13" s="28">
        <f>SUM(AJ14:AJ42)</f>
        <v>0</v>
      </c>
      <c r="AT13" s="28">
        <f>SUM(AK14:AK42)</f>
        <v>0</v>
      </c>
      <c r="AU13" s="28">
        <f>SUM(AL14:AL42)</f>
        <v>0</v>
      </c>
    </row>
    <row r="14" spans="1:76" ht="25.5" x14ac:dyDescent="0.25">
      <c r="A14" s="1" t="s">
        <v>114</v>
      </c>
      <c r="B14" s="2" t="s">
        <v>115</v>
      </c>
      <c r="C14" s="66" t="s">
        <v>116</v>
      </c>
      <c r="D14" s="67"/>
      <c r="E14" s="2" t="s">
        <v>117</v>
      </c>
      <c r="F14" s="52">
        <v>2100</v>
      </c>
      <c r="G14" s="5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113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114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118</v>
      </c>
      <c r="AZ14" s="54" t="s">
        <v>119</v>
      </c>
      <c r="BA14" s="34" t="s">
        <v>120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>
        <v>11</v>
      </c>
      <c r="BW14" s="52">
        <v>21</v>
      </c>
      <c r="BX14" s="3" t="s">
        <v>116</v>
      </c>
    </row>
    <row r="15" spans="1:76" ht="27" customHeight="1" x14ac:dyDescent="0.25">
      <c r="A15" s="55"/>
      <c r="B15" s="56" t="s">
        <v>57</v>
      </c>
      <c r="C15" s="138" t="s">
        <v>121</v>
      </c>
      <c r="D15" s="139"/>
      <c r="E15" s="139"/>
      <c r="F15" s="139"/>
      <c r="G15" s="139"/>
      <c r="H15" s="139"/>
      <c r="I15" s="139"/>
      <c r="J15" s="139"/>
      <c r="K15" s="140"/>
    </row>
    <row r="16" spans="1:76" x14ac:dyDescent="0.25">
      <c r="A16" s="1" t="s">
        <v>122</v>
      </c>
      <c r="B16" s="2" t="s">
        <v>123</v>
      </c>
      <c r="C16" s="66" t="s">
        <v>124</v>
      </c>
      <c r="D16" s="67"/>
      <c r="E16" s="2" t="s">
        <v>117</v>
      </c>
      <c r="F16" s="52">
        <v>894</v>
      </c>
      <c r="G16" s="5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125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113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114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118</v>
      </c>
      <c r="AZ16" s="54" t="s">
        <v>119</v>
      </c>
      <c r="BA16" s="34" t="s">
        <v>120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>
        <v>11</v>
      </c>
      <c r="BW16" s="52">
        <v>21</v>
      </c>
      <c r="BX16" s="3" t="s">
        <v>124</v>
      </c>
    </row>
    <row r="17" spans="1:76" ht="27" customHeight="1" x14ac:dyDescent="0.25">
      <c r="A17" s="55"/>
      <c r="B17" s="56" t="s">
        <v>57</v>
      </c>
      <c r="C17" s="138" t="s">
        <v>121</v>
      </c>
      <c r="D17" s="139"/>
      <c r="E17" s="139"/>
      <c r="F17" s="139"/>
      <c r="G17" s="139"/>
      <c r="H17" s="139"/>
      <c r="I17" s="139"/>
      <c r="J17" s="139"/>
      <c r="K17" s="140"/>
    </row>
    <row r="18" spans="1:76" x14ac:dyDescent="0.25">
      <c r="A18" s="1" t="s">
        <v>126</v>
      </c>
      <c r="B18" s="2" t="s">
        <v>127</v>
      </c>
      <c r="C18" s="66" t="s">
        <v>128</v>
      </c>
      <c r="D18" s="67"/>
      <c r="E18" s="2" t="s">
        <v>129</v>
      </c>
      <c r="F18" s="52">
        <v>600</v>
      </c>
      <c r="G18" s="52">
        <v>0</v>
      </c>
      <c r="H18" s="52">
        <f>F18*AO18</f>
        <v>0</v>
      </c>
      <c r="I18" s="52">
        <f>F18*AP18</f>
        <v>0</v>
      </c>
      <c r="J18" s="52">
        <f>F18*G18</f>
        <v>0</v>
      </c>
      <c r="K18" s="53" t="s">
        <v>130</v>
      </c>
      <c r="Z18" s="52">
        <f>IF(AQ18="5",BJ18,0)</f>
        <v>0</v>
      </c>
      <c r="AB18" s="52">
        <f>IF(AQ18="1",BH18,0)</f>
        <v>0</v>
      </c>
      <c r="AC18" s="52">
        <f>IF(AQ18="1",BI18,0)</f>
        <v>0</v>
      </c>
      <c r="AD18" s="52">
        <f>IF(AQ18="7",BH18,0)</f>
        <v>0</v>
      </c>
      <c r="AE18" s="52">
        <f>IF(AQ18="7",BI18,0)</f>
        <v>0</v>
      </c>
      <c r="AF18" s="52">
        <f>IF(AQ18="2",BH18,0)</f>
        <v>0</v>
      </c>
      <c r="AG18" s="52">
        <f>IF(AQ18="2",BI18,0)</f>
        <v>0</v>
      </c>
      <c r="AH18" s="52">
        <f>IF(AQ18="0",BJ18,0)</f>
        <v>0</v>
      </c>
      <c r="AI18" s="34" t="s">
        <v>113</v>
      </c>
      <c r="AJ18" s="52">
        <f>IF(AN18=0,J18,0)</f>
        <v>0</v>
      </c>
      <c r="AK18" s="52">
        <f>IF(AN18=12,J18,0)</f>
        <v>0</v>
      </c>
      <c r="AL18" s="52">
        <f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114</v>
      </c>
      <c r="AV18" s="52">
        <f>AW18+AX18</f>
        <v>0</v>
      </c>
      <c r="AW18" s="52">
        <f>F18*AO18</f>
        <v>0</v>
      </c>
      <c r="AX18" s="52">
        <f>F18*AP18</f>
        <v>0</v>
      </c>
      <c r="AY18" s="54" t="s">
        <v>118</v>
      </c>
      <c r="AZ18" s="54" t="s">
        <v>119</v>
      </c>
      <c r="BA18" s="34" t="s">
        <v>120</v>
      </c>
      <c r="BC18" s="52">
        <f>AW18+AX18</f>
        <v>0</v>
      </c>
      <c r="BD18" s="52">
        <f>G18/(100-BE18)*100</f>
        <v>0</v>
      </c>
      <c r="BE18" s="52">
        <v>0</v>
      </c>
      <c r="BF18" s="52">
        <f>18</f>
        <v>18</v>
      </c>
      <c r="BH18" s="52">
        <f>F18*AO18</f>
        <v>0</v>
      </c>
      <c r="BI18" s="52">
        <f>F18*AP18</f>
        <v>0</v>
      </c>
      <c r="BJ18" s="52">
        <f>F18*G18</f>
        <v>0</v>
      </c>
      <c r="BK18" s="52"/>
      <c r="BL18" s="52">
        <v>11</v>
      </c>
      <c r="BW18" s="52">
        <v>21</v>
      </c>
      <c r="BX18" s="3" t="s">
        <v>128</v>
      </c>
    </row>
    <row r="19" spans="1:76" ht="27" customHeight="1" x14ac:dyDescent="0.25">
      <c r="A19" s="55"/>
      <c r="B19" s="56" t="s">
        <v>57</v>
      </c>
      <c r="C19" s="138" t="s">
        <v>121</v>
      </c>
      <c r="D19" s="139"/>
      <c r="E19" s="139"/>
      <c r="F19" s="139"/>
      <c r="G19" s="139"/>
      <c r="H19" s="139"/>
      <c r="I19" s="139"/>
      <c r="J19" s="139"/>
      <c r="K19" s="140"/>
    </row>
    <row r="20" spans="1:76" ht="25.5" x14ac:dyDescent="0.25">
      <c r="A20" s="1" t="s">
        <v>131</v>
      </c>
      <c r="B20" s="2" t="s">
        <v>132</v>
      </c>
      <c r="C20" s="66" t="s">
        <v>133</v>
      </c>
      <c r="D20" s="67"/>
      <c r="E20" s="2" t="s">
        <v>129</v>
      </c>
      <c r="F20" s="52">
        <v>10.9</v>
      </c>
      <c r="G20" s="52">
        <v>0</v>
      </c>
      <c r="H20" s="52">
        <f>F20*AO20</f>
        <v>0</v>
      </c>
      <c r="I20" s="52">
        <f>F20*AP20</f>
        <v>0</v>
      </c>
      <c r="J20" s="52">
        <f>F20*G20</f>
        <v>0</v>
      </c>
      <c r="K20" s="53" t="s">
        <v>125</v>
      </c>
      <c r="Z20" s="52">
        <f>IF(AQ20="5",BJ20,0)</f>
        <v>0</v>
      </c>
      <c r="AB20" s="52">
        <f>IF(AQ20="1",BH20,0)</f>
        <v>0</v>
      </c>
      <c r="AC20" s="52">
        <f>IF(AQ20="1",BI20,0)</f>
        <v>0</v>
      </c>
      <c r="AD20" s="52">
        <f>IF(AQ20="7",BH20,0)</f>
        <v>0</v>
      </c>
      <c r="AE20" s="52">
        <f>IF(AQ20="7",BI20,0)</f>
        <v>0</v>
      </c>
      <c r="AF20" s="52">
        <f>IF(AQ20="2",BH20,0)</f>
        <v>0</v>
      </c>
      <c r="AG20" s="52">
        <f>IF(AQ20="2",BI20,0)</f>
        <v>0</v>
      </c>
      <c r="AH20" s="52">
        <f>IF(AQ20="0",BJ20,0)</f>
        <v>0</v>
      </c>
      <c r="AI20" s="34" t="s">
        <v>113</v>
      </c>
      <c r="AJ20" s="52">
        <f>IF(AN20=0,J20,0)</f>
        <v>0</v>
      </c>
      <c r="AK20" s="52">
        <f>IF(AN20=12,J20,0)</f>
        <v>0</v>
      </c>
      <c r="AL20" s="52">
        <f>IF(AN20=21,J20,0)</f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114</v>
      </c>
      <c r="AV20" s="52">
        <f>AW20+AX20</f>
        <v>0</v>
      </c>
      <c r="AW20" s="52">
        <f>F20*AO20</f>
        <v>0</v>
      </c>
      <c r="AX20" s="52">
        <f>F20*AP20</f>
        <v>0</v>
      </c>
      <c r="AY20" s="54" t="s">
        <v>118</v>
      </c>
      <c r="AZ20" s="54" t="s">
        <v>119</v>
      </c>
      <c r="BA20" s="34" t="s">
        <v>120</v>
      </c>
      <c r="BC20" s="52">
        <f>AW20+AX20</f>
        <v>0</v>
      </c>
      <c r="BD20" s="52">
        <f>G20/(100-BE20)*100</f>
        <v>0</v>
      </c>
      <c r="BE20" s="52">
        <v>0</v>
      </c>
      <c r="BF20" s="52">
        <f>20</f>
        <v>20</v>
      </c>
      <c r="BH20" s="52">
        <f>F20*AO20</f>
        <v>0</v>
      </c>
      <c r="BI20" s="52">
        <f>F20*AP20</f>
        <v>0</v>
      </c>
      <c r="BJ20" s="52">
        <f>F20*G20</f>
        <v>0</v>
      </c>
      <c r="BK20" s="52"/>
      <c r="BL20" s="52">
        <v>11</v>
      </c>
      <c r="BW20" s="52">
        <v>21</v>
      </c>
      <c r="BX20" s="3" t="s">
        <v>133</v>
      </c>
    </row>
    <row r="21" spans="1:76" ht="67.5" customHeight="1" x14ac:dyDescent="0.25">
      <c r="A21" s="55"/>
      <c r="B21" s="56" t="s">
        <v>57</v>
      </c>
      <c r="C21" s="138" t="s">
        <v>134</v>
      </c>
      <c r="D21" s="139"/>
      <c r="E21" s="139"/>
      <c r="F21" s="139"/>
      <c r="G21" s="139"/>
      <c r="H21" s="139"/>
      <c r="I21" s="139"/>
      <c r="J21" s="139"/>
      <c r="K21" s="140"/>
    </row>
    <row r="22" spans="1:76" ht="25.5" x14ac:dyDescent="0.25">
      <c r="A22" s="1" t="s">
        <v>135</v>
      </c>
      <c r="B22" s="2" t="s">
        <v>136</v>
      </c>
      <c r="C22" s="66" t="s">
        <v>137</v>
      </c>
      <c r="D22" s="67"/>
      <c r="E22" s="2" t="s">
        <v>138</v>
      </c>
      <c r="F22" s="52">
        <v>10</v>
      </c>
      <c r="G22" s="52">
        <v>0</v>
      </c>
      <c r="H22" s="52">
        <f>F22*AO22</f>
        <v>0</v>
      </c>
      <c r="I22" s="52">
        <f>F22*AP22</f>
        <v>0</v>
      </c>
      <c r="J22" s="52">
        <f>F22*G22</f>
        <v>0</v>
      </c>
      <c r="K22" s="53" t="s">
        <v>125</v>
      </c>
      <c r="Z22" s="52">
        <f>IF(AQ22="5",BJ22,0)</f>
        <v>0</v>
      </c>
      <c r="AB22" s="52">
        <f>IF(AQ22="1",BH22,0)</f>
        <v>0</v>
      </c>
      <c r="AC22" s="52">
        <f>IF(AQ22="1",BI22,0)</f>
        <v>0</v>
      </c>
      <c r="AD22" s="52">
        <f>IF(AQ22="7",BH22,0)</f>
        <v>0</v>
      </c>
      <c r="AE22" s="52">
        <f>IF(AQ22="7",BI22,0)</f>
        <v>0</v>
      </c>
      <c r="AF22" s="52">
        <f>IF(AQ22="2",BH22,0)</f>
        <v>0</v>
      </c>
      <c r="AG22" s="52">
        <f>IF(AQ22="2",BI22,0)</f>
        <v>0</v>
      </c>
      <c r="AH22" s="52">
        <f>IF(AQ22="0",BJ22,0)</f>
        <v>0</v>
      </c>
      <c r="AI22" s="34" t="s">
        <v>113</v>
      </c>
      <c r="AJ22" s="52">
        <f>IF(AN22=0,J22,0)</f>
        <v>0</v>
      </c>
      <c r="AK22" s="52">
        <f>IF(AN22=12,J22,0)</f>
        <v>0</v>
      </c>
      <c r="AL22" s="52">
        <f>IF(AN22=21,J22,0)</f>
        <v>0</v>
      </c>
      <c r="AN22" s="52">
        <v>21</v>
      </c>
      <c r="AO22" s="52">
        <f>G22*0</f>
        <v>0</v>
      </c>
      <c r="AP22" s="52">
        <f>G22*(1-0)</f>
        <v>0</v>
      </c>
      <c r="AQ22" s="54" t="s">
        <v>114</v>
      </c>
      <c r="AV22" s="52">
        <f>AW22+AX22</f>
        <v>0</v>
      </c>
      <c r="AW22" s="52">
        <f>F22*AO22</f>
        <v>0</v>
      </c>
      <c r="AX22" s="52">
        <f>F22*AP22</f>
        <v>0</v>
      </c>
      <c r="AY22" s="54" t="s">
        <v>118</v>
      </c>
      <c r="AZ22" s="54" t="s">
        <v>119</v>
      </c>
      <c r="BA22" s="34" t="s">
        <v>120</v>
      </c>
      <c r="BC22" s="52">
        <f>AW22+AX22</f>
        <v>0</v>
      </c>
      <c r="BD22" s="52">
        <f>G22/(100-BE22)*100</f>
        <v>0</v>
      </c>
      <c r="BE22" s="52">
        <v>0</v>
      </c>
      <c r="BF22" s="52">
        <f>22</f>
        <v>22</v>
      </c>
      <c r="BH22" s="52">
        <f>F22*AO22</f>
        <v>0</v>
      </c>
      <c r="BI22" s="52">
        <f>F22*AP22</f>
        <v>0</v>
      </c>
      <c r="BJ22" s="52">
        <f>F22*G22</f>
        <v>0</v>
      </c>
      <c r="BK22" s="52"/>
      <c r="BL22" s="52">
        <v>11</v>
      </c>
      <c r="BW22" s="52">
        <v>21</v>
      </c>
      <c r="BX22" s="3" t="s">
        <v>137</v>
      </c>
    </row>
    <row r="23" spans="1:76" ht="27" customHeight="1" x14ac:dyDescent="0.25">
      <c r="A23" s="55"/>
      <c r="B23" s="56" t="s">
        <v>57</v>
      </c>
      <c r="C23" s="138" t="s">
        <v>121</v>
      </c>
      <c r="D23" s="139"/>
      <c r="E23" s="139"/>
      <c r="F23" s="139"/>
      <c r="G23" s="139"/>
      <c r="H23" s="139"/>
      <c r="I23" s="139"/>
      <c r="J23" s="139"/>
      <c r="K23" s="140"/>
    </row>
    <row r="24" spans="1:76" ht="25.5" x14ac:dyDescent="0.25">
      <c r="A24" s="1" t="s">
        <v>139</v>
      </c>
      <c r="B24" s="2" t="s">
        <v>140</v>
      </c>
      <c r="C24" s="66" t="s">
        <v>141</v>
      </c>
      <c r="D24" s="67"/>
      <c r="E24" s="2" t="s">
        <v>138</v>
      </c>
      <c r="F24" s="52">
        <v>5</v>
      </c>
      <c r="G24" s="52">
        <v>0</v>
      </c>
      <c r="H24" s="52">
        <f>F24*AO24</f>
        <v>0</v>
      </c>
      <c r="I24" s="52">
        <f>F24*AP24</f>
        <v>0</v>
      </c>
      <c r="J24" s="52">
        <f>F24*G24</f>
        <v>0</v>
      </c>
      <c r="K24" s="53" t="s">
        <v>125</v>
      </c>
      <c r="Z24" s="52">
        <f>IF(AQ24="5",BJ24,0)</f>
        <v>0</v>
      </c>
      <c r="AB24" s="52">
        <f>IF(AQ24="1",BH24,0)</f>
        <v>0</v>
      </c>
      <c r="AC24" s="52">
        <f>IF(AQ24="1",BI24,0)</f>
        <v>0</v>
      </c>
      <c r="AD24" s="52">
        <f>IF(AQ24="7",BH24,0)</f>
        <v>0</v>
      </c>
      <c r="AE24" s="52">
        <f>IF(AQ24="7",BI24,0)</f>
        <v>0</v>
      </c>
      <c r="AF24" s="52">
        <f>IF(AQ24="2",BH24,0)</f>
        <v>0</v>
      </c>
      <c r="AG24" s="52">
        <f>IF(AQ24="2",BI24,0)</f>
        <v>0</v>
      </c>
      <c r="AH24" s="52">
        <f>IF(AQ24="0",BJ24,0)</f>
        <v>0</v>
      </c>
      <c r="AI24" s="34" t="s">
        <v>113</v>
      </c>
      <c r="AJ24" s="52">
        <f>IF(AN24=0,J24,0)</f>
        <v>0</v>
      </c>
      <c r="AK24" s="52">
        <f>IF(AN24=12,J24,0)</f>
        <v>0</v>
      </c>
      <c r="AL24" s="52">
        <f>IF(AN24=21,J24,0)</f>
        <v>0</v>
      </c>
      <c r="AN24" s="52">
        <v>21</v>
      </c>
      <c r="AO24" s="52">
        <f>G24*0</f>
        <v>0</v>
      </c>
      <c r="AP24" s="52">
        <f>G24*(1-0)</f>
        <v>0</v>
      </c>
      <c r="AQ24" s="54" t="s">
        <v>114</v>
      </c>
      <c r="AV24" s="52">
        <f>AW24+AX24</f>
        <v>0</v>
      </c>
      <c r="AW24" s="52">
        <f>F24*AO24</f>
        <v>0</v>
      </c>
      <c r="AX24" s="52">
        <f>F24*AP24</f>
        <v>0</v>
      </c>
      <c r="AY24" s="54" t="s">
        <v>118</v>
      </c>
      <c r="AZ24" s="54" t="s">
        <v>119</v>
      </c>
      <c r="BA24" s="34" t="s">
        <v>120</v>
      </c>
      <c r="BC24" s="52">
        <f>AW24+AX24</f>
        <v>0</v>
      </c>
      <c r="BD24" s="52">
        <f>G24/(100-BE24)*100</f>
        <v>0</v>
      </c>
      <c r="BE24" s="52">
        <v>0</v>
      </c>
      <c r="BF24" s="52">
        <f>24</f>
        <v>24</v>
      </c>
      <c r="BH24" s="52">
        <f>F24*AO24</f>
        <v>0</v>
      </c>
      <c r="BI24" s="52">
        <f>F24*AP24</f>
        <v>0</v>
      </c>
      <c r="BJ24" s="52">
        <f>F24*G24</f>
        <v>0</v>
      </c>
      <c r="BK24" s="52"/>
      <c r="BL24" s="52">
        <v>11</v>
      </c>
      <c r="BW24" s="52">
        <v>21</v>
      </c>
      <c r="BX24" s="3" t="s">
        <v>141</v>
      </c>
    </row>
    <row r="25" spans="1:76" ht="27" customHeight="1" x14ac:dyDescent="0.25">
      <c r="A25" s="55"/>
      <c r="B25" s="56" t="s">
        <v>57</v>
      </c>
      <c r="C25" s="138" t="s">
        <v>121</v>
      </c>
      <c r="D25" s="139"/>
      <c r="E25" s="139"/>
      <c r="F25" s="139"/>
      <c r="G25" s="139"/>
      <c r="H25" s="139"/>
      <c r="I25" s="139"/>
      <c r="J25" s="139"/>
      <c r="K25" s="140"/>
    </row>
    <row r="26" spans="1:76" ht="25.5" x14ac:dyDescent="0.25">
      <c r="A26" s="1" t="s">
        <v>142</v>
      </c>
      <c r="B26" s="2" t="s">
        <v>143</v>
      </c>
      <c r="C26" s="66" t="s">
        <v>144</v>
      </c>
      <c r="D26" s="67"/>
      <c r="E26" s="2" t="s">
        <v>138</v>
      </c>
      <c r="F26" s="52">
        <v>19</v>
      </c>
      <c r="G26" s="52">
        <v>0</v>
      </c>
      <c r="H26" s="52">
        <f>F26*AO26</f>
        <v>0</v>
      </c>
      <c r="I26" s="52">
        <f>F26*AP26</f>
        <v>0</v>
      </c>
      <c r="J26" s="52">
        <f>F26*G26</f>
        <v>0</v>
      </c>
      <c r="K26" s="53" t="s">
        <v>125</v>
      </c>
      <c r="Z26" s="52">
        <f>IF(AQ26="5",BJ26,0)</f>
        <v>0</v>
      </c>
      <c r="AB26" s="52">
        <f>IF(AQ26="1",BH26,0)</f>
        <v>0</v>
      </c>
      <c r="AC26" s="52">
        <f>IF(AQ26="1",BI26,0)</f>
        <v>0</v>
      </c>
      <c r="AD26" s="52">
        <f>IF(AQ26="7",BH26,0)</f>
        <v>0</v>
      </c>
      <c r="AE26" s="52">
        <f>IF(AQ26="7",BI26,0)</f>
        <v>0</v>
      </c>
      <c r="AF26" s="52">
        <f>IF(AQ26="2",BH26,0)</f>
        <v>0</v>
      </c>
      <c r="AG26" s="52">
        <f>IF(AQ26="2",BI26,0)</f>
        <v>0</v>
      </c>
      <c r="AH26" s="52">
        <f>IF(AQ26="0",BJ26,0)</f>
        <v>0</v>
      </c>
      <c r="AI26" s="34" t="s">
        <v>113</v>
      </c>
      <c r="AJ26" s="52">
        <f>IF(AN26=0,J26,0)</f>
        <v>0</v>
      </c>
      <c r="AK26" s="52">
        <f>IF(AN26=12,J26,0)</f>
        <v>0</v>
      </c>
      <c r="AL26" s="52">
        <f>IF(AN26=21,J26,0)</f>
        <v>0</v>
      </c>
      <c r="AN26" s="52">
        <v>21</v>
      </c>
      <c r="AO26" s="52">
        <f>G26*0</f>
        <v>0</v>
      </c>
      <c r="AP26" s="52">
        <f>G26*(1-0)</f>
        <v>0</v>
      </c>
      <c r="AQ26" s="54" t="s">
        <v>114</v>
      </c>
      <c r="AV26" s="52">
        <f>AW26+AX26</f>
        <v>0</v>
      </c>
      <c r="AW26" s="52">
        <f>F26*AO26</f>
        <v>0</v>
      </c>
      <c r="AX26" s="52">
        <f>F26*AP26</f>
        <v>0</v>
      </c>
      <c r="AY26" s="54" t="s">
        <v>118</v>
      </c>
      <c r="AZ26" s="54" t="s">
        <v>119</v>
      </c>
      <c r="BA26" s="34" t="s">
        <v>120</v>
      </c>
      <c r="BC26" s="52">
        <f>AW26+AX26</f>
        <v>0</v>
      </c>
      <c r="BD26" s="52">
        <f>G26/(100-BE26)*100</f>
        <v>0</v>
      </c>
      <c r="BE26" s="52">
        <v>0</v>
      </c>
      <c r="BF26" s="52">
        <f>26</f>
        <v>26</v>
      </c>
      <c r="BH26" s="52">
        <f>F26*AO26</f>
        <v>0</v>
      </c>
      <c r="BI26" s="52">
        <f>F26*AP26</f>
        <v>0</v>
      </c>
      <c r="BJ26" s="52">
        <f>F26*G26</f>
        <v>0</v>
      </c>
      <c r="BK26" s="52"/>
      <c r="BL26" s="52">
        <v>11</v>
      </c>
      <c r="BW26" s="52">
        <v>21</v>
      </c>
      <c r="BX26" s="3" t="s">
        <v>144</v>
      </c>
    </row>
    <row r="27" spans="1:76" ht="27" customHeight="1" x14ac:dyDescent="0.25">
      <c r="A27" s="55"/>
      <c r="B27" s="56" t="s">
        <v>57</v>
      </c>
      <c r="C27" s="138" t="s">
        <v>121</v>
      </c>
      <c r="D27" s="139"/>
      <c r="E27" s="139"/>
      <c r="F27" s="139"/>
      <c r="G27" s="139"/>
      <c r="H27" s="139"/>
      <c r="I27" s="139"/>
      <c r="J27" s="139"/>
      <c r="K27" s="140"/>
    </row>
    <row r="28" spans="1:76" ht="25.5" x14ac:dyDescent="0.25">
      <c r="A28" s="1" t="s">
        <v>145</v>
      </c>
      <c r="B28" s="2" t="s">
        <v>146</v>
      </c>
      <c r="C28" s="66" t="s">
        <v>147</v>
      </c>
      <c r="D28" s="67"/>
      <c r="E28" s="2" t="s">
        <v>138</v>
      </c>
      <c r="F28" s="52">
        <v>43</v>
      </c>
      <c r="G28" s="52">
        <v>0</v>
      </c>
      <c r="H28" s="52">
        <f>F28*AO28</f>
        <v>0</v>
      </c>
      <c r="I28" s="52">
        <f>F28*AP28</f>
        <v>0</v>
      </c>
      <c r="J28" s="52">
        <f>F28*G28</f>
        <v>0</v>
      </c>
      <c r="K28" s="53" t="s">
        <v>125</v>
      </c>
      <c r="Z28" s="52">
        <f>IF(AQ28="5",BJ28,0)</f>
        <v>0</v>
      </c>
      <c r="AB28" s="52">
        <f>IF(AQ28="1",BH28,0)</f>
        <v>0</v>
      </c>
      <c r="AC28" s="52">
        <f>IF(AQ28="1",BI28,0)</f>
        <v>0</v>
      </c>
      <c r="AD28" s="52">
        <f>IF(AQ28="7",BH28,0)</f>
        <v>0</v>
      </c>
      <c r="AE28" s="52">
        <f>IF(AQ28="7",BI28,0)</f>
        <v>0</v>
      </c>
      <c r="AF28" s="52">
        <f>IF(AQ28="2",BH28,0)</f>
        <v>0</v>
      </c>
      <c r="AG28" s="52">
        <f>IF(AQ28="2",BI28,0)</f>
        <v>0</v>
      </c>
      <c r="AH28" s="52">
        <f>IF(AQ28="0",BJ28,0)</f>
        <v>0</v>
      </c>
      <c r="AI28" s="34" t="s">
        <v>113</v>
      </c>
      <c r="AJ28" s="52">
        <f>IF(AN28=0,J28,0)</f>
        <v>0</v>
      </c>
      <c r="AK28" s="52">
        <f>IF(AN28=12,J28,0)</f>
        <v>0</v>
      </c>
      <c r="AL28" s="52">
        <f>IF(AN28=21,J28,0)</f>
        <v>0</v>
      </c>
      <c r="AN28" s="52">
        <v>21</v>
      </c>
      <c r="AO28" s="52">
        <f>G28*0</f>
        <v>0</v>
      </c>
      <c r="AP28" s="52">
        <f>G28*(1-0)</f>
        <v>0</v>
      </c>
      <c r="AQ28" s="54" t="s">
        <v>114</v>
      </c>
      <c r="AV28" s="52">
        <f>AW28+AX28</f>
        <v>0</v>
      </c>
      <c r="AW28" s="52">
        <f>F28*AO28</f>
        <v>0</v>
      </c>
      <c r="AX28" s="52">
        <f>F28*AP28</f>
        <v>0</v>
      </c>
      <c r="AY28" s="54" t="s">
        <v>118</v>
      </c>
      <c r="AZ28" s="54" t="s">
        <v>119</v>
      </c>
      <c r="BA28" s="34" t="s">
        <v>120</v>
      </c>
      <c r="BC28" s="52">
        <f>AW28+AX28</f>
        <v>0</v>
      </c>
      <c r="BD28" s="52">
        <f>G28/(100-BE28)*100</f>
        <v>0</v>
      </c>
      <c r="BE28" s="52">
        <v>0</v>
      </c>
      <c r="BF28" s="52">
        <f>28</f>
        <v>28</v>
      </c>
      <c r="BH28" s="52">
        <f>F28*AO28</f>
        <v>0</v>
      </c>
      <c r="BI28" s="52">
        <f>F28*AP28</f>
        <v>0</v>
      </c>
      <c r="BJ28" s="52">
        <f>F28*G28</f>
        <v>0</v>
      </c>
      <c r="BK28" s="52"/>
      <c r="BL28" s="52">
        <v>11</v>
      </c>
      <c r="BW28" s="52">
        <v>21</v>
      </c>
      <c r="BX28" s="3" t="s">
        <v>147</v>
      </c>
    </row>
    <row r="29" spans="1:76" ht="27" customHeight="1" x14ac:dyDescent="0.25">
      <c r="A29" s="55"/>
      <c r="B29" s="56" t="s">
        <v>57</v>
      </c>
      <c r="C29" s="138" t="s">
        <v>121</v>
      </c>
      <c r="D29" s="139"/>
      <c r="E29" s="139"/>
      <c r="F29" s="139"/>
      <c r="G29" s="139"/>
      <c r="H29" s="139"/>
      <c r="I29" s="139"/>
      <c r="J29" s="139"/>
      <c r="K29" s="140"/>
    </row>
    <row r="30" spans="1:76" ht="25.5" x14ac:dyDescent="0.25">
      <c r="A30" s="1" t="s">
        <v>148</v>
      </c>
      <c r="B30" s="2" t="s">
        <v>149</v>
      </c>
      <c r="C30" s="66" t="s">
        <v>150</v>
      </c>
      <c r="D30" s="67"/>
      <c r="E30" s="2" t="s">
        <v>138</v>
      </c>
      <c r="F30" s="52">
        <v>22</v>
      </c>
      <c r="G30" s="52">
        <v>0</v>
      </c>
      <c r="H30" s="52">
        <f>F30*AO30</f>
        <v>0</v>
      </c>
      <c r="I30" s="52">
        <f>F30*AP30</f>
        <v>0</v>
      </c>
      <c r="J30" s="52">
        <f>F30*G30</f>
        <v>0</v>
      </c>
      <c r="K30" s="53" t="s">
        <v>125</v>
      </c>
      <c r="Z30" s="52">
        <f>IF(AQ30="5",BJ30,0)</f>
        <v>0</v>
      </c>
      <c r="AB30" s="52">
        <f>IF(AQ30="1",BH30,0)</f>
        <v>0</v>
      </c>
      <c r="AC30" s="52">
        <f>IF(AQ30="1",BI30,0)</f>
        <v>0</v>
      </c>
      <c r="AD30" s="52">
        <f>IF(AQ30="7",BH30,0)</f>
        <v>0</v>
      </c>
      <c r="AE30" s="52">
        <f>IF(AQ30="7",BI30,0)</f>
        <v>0</v>
      </c>
      <c r="AF30" s="52">
        <f>IF(AQ30="2",BH30,0)</f>
        <v>0</v>
      </c>
      <c r="AG30" s="52">
        <f>IF(AQ30="2",BI30,0)</f>
        <v>0</v>
      </c>
      <c r="AH30" s="52">
        <f>IF(AQ30="0",BJ30,0)</f>
        <v>0</v>
      </c>
      <c r="AI30" s="34" t="s">
        <v>113</v>
      </c>
      <c r="AJ30" s="52">
        <f>IF(AN30=0,J30,0)</f>
        <v>0</v>
      </c>
      <c r="AK30" s="52">
        <f>IF(AN30=12,J30,0)</f>
        <v>0</v>
      </c>
      <c r="AL30" s="52">
        <f>IF(AN30=21,J30,0)</f>
        <v>0</v>
      </c>
      <c r="AN30" s="52">
        <v>21</v>
      </c>
      <c r="AO30" s="52">
        <f>G30*0</f>
        <v>0</v>
      </c>
      <c r="AP30" s="52">
        <f>G30*(1-0)</f>
        <v>0</v>
      </c>
      <c r="AQ30" s="54" t="s">
        <v>114</v>
      </c>
      <c r="AV30" s="52">
        <f>AW30+AX30</f>
        <v>0</v>
      </c>
      <c r="AW30" s="52">
        <f>F30*AO30</f>
        <v>0</v>
      </c>
      <c r="AX30" s="52">
        <f>F30*AP30</f>
        <v>0</v>
      </c>
      <c r="AY30" s="54" t="s">
        <v>118</v>
      </c>
      <c r="AZ30" s="54" t="s">
        <v>119</v>
      </c>
      <c r="BA30" s="34" t="s">
        <v>120</v>
      </c>
      <c r="BC30" s="52">
        <f>AW30+AX30</f>
        <v>0</v>
      </c>
      <c r="BD30" s="52">
        <f>G30/(100-BE30)*100</f>
        <v>0</v>
      </c>
      <c r="BE30" s="52">
        <v>0</v>
      </c>
      <c r="BF30" s="52">
        <f>30</f>
        <v>30</v>
      </c>
      <c r="BH30" s="52">
        <f>F30*AO30</f>
        <v>0</v>
      </c>
      <c r="BI30" s="52">
        <f>F30*AP30</f>
        <v>0</v>
      </c>
      <c r="BJ30" s="52">
        <f>F30*G30</f>
        <v>0</v>
      </c>
      <c r="BK30" s="52"/>
      <c r="BL30" s="52">
        <v>11</v>
      </c>
      <c r="BW30" s="52">
        <v>21</v>
      </c>
      <c r="BX30" s="3" t="s">
        <v>150</v>
      </c>
    </row>
    <row r="31" spans="1:76" ht="27" customHeight="1" x14ac:dyDescent="0.25">
      <c r="A31" s="55"/>
      <c r="B31" s="56" t="s">
        <v>57</v>
      </c>
      <c r="C31" s="138" t="s">
        <v>121</v>
      </c>
      <c r="D31" s="139"/>
      <c r="E31" s="139"/>
      <c r="F31" s="139"/>
      <c r="G31" s="139"/>
      <c r="H31" s="139"/>
      <c r="I31" s="139"/>
      <c r="J31" s="139"/>
      <c r="K31" s="140"/>
    </row>
    <row r="32" spans="1:76" ht="25.5" x14ac:dyDescent="0.25">
      <c r="A32" s="1" t="s">
        <v>151</v>
      </c>
      <c r="B32" s="2" t="s">
        <v>152</v>
      </c>
      <c r="C32" s="66" t="s">
        <v>153</v>
      </c>
      <c r="D32" s="67"/>
      <c r="E32" s="2" t="s">
        <v>138</v>
      </c>
      <c r="F32" s="52">
        <v>24</v>
      </c>
      <c r="G32" s="52">
        <v>0</v>
      </c>
      <c r="H32" s="52">
        <f>F32*AO32</f>
        <v>0</v>
      </c>
      <c r="I32" s="52">
        <f>F32*AP32</f>
        <v>0</v>
      </c>
      <c r="J32" s="52">
        <f>F32*G32</f>
        <v>0</v>
      </c>
      <c r="K32" s="53" t="s">
        <v>125</v>
      </c>
      <c r="Z32" s="52">
        <f>IF(AQ32="5",BJ32,0)</f>
        <v>0</v>
      </c>
      <c r="AB32" s="52">
        <f>IF(AQ32="1",BH32,0)</f>
        <v>0</v>
      </c>
      <c r="AC32" s="52">
        <f>IF(AQ32="1",BI32,0)</f>
        <v>0</v>
      </c>
      <c r="AD32" s="52">
        <f>IF(AQ32="7",BH32,0)</f>
        <v>0</v>
      </c>
      <c r="AE32" s="52">
        <f>IF(AQ32="7",BI32,0)</f>
        <v>0</v>
      </c>
      <c r="AF32" s="52">
        <f>IF(AQ32="2",BH32,0)</f>
        <v>0</v>
      </c>
      <c r="AG32" s="52">
        <f>IF(AQ32="2",BI32,0)</f>
        <v>0</v>
      </c>
      <c r="AH32" s="52">
        <f>IF(AQ32="0",BJ32,0)</f>
        <v>0</v>
      </c>
      <c r="AI32" s="34" t="s">
        <v>113</v>
      </c>
      <c r="AJ32" s="52">
        <f>IF(AN32=0,J32,0)</f>
        <v>0</v>
      </c>
      <c r="AK32" s="52">
        <f>IF(AN32=12,J32,0)</f>
        <v>0</v>
      </c>
      <c r="AL32" s="52">
        <f>IF(AN32=21,J32,0)</f>
        <v>0</v>
      </c>
      <c r="AN32" s="52">
        <v>21</v>
      </c>
      <c r="AO32" s="52">
        <f>G32*0</f>
        <v>0</v>
      </c>
      <c r="AP32" s="52">
        <f>G32*(1-0)</f>
        <v>0</v>
      </c>
      <c r="AQ32" s="54" t="s">
        <v>114</v>
      </c>
      <c r="AV32" s="52">
        <f>AW32+AX32</f>
        <v>0</v>
      </c>
      <c r="AW32" s="52">
        <f>F32*AO32</f>
        <v>0</v>
      </c>
      <c r="AX32" s="52">
        <f>F32*AP32</f>
        <v>0</v>
      </c>
      <c r="AY32" s="54" t="s">
        <v>118</v>
      </c>
      <c r="AZ32" s="54" t="s">
        <v>119</v>
      </c>
      <c r="BA32" s="34" t="s">
        <v>120</v>
      </c>
      <c r="BC32" s="52">
        <f>AW32+AX32</f>
        <v>0</v>
      </c>
      <c r="BD32" s="52">
        <f>G32/(100-BE32)*100</f>
        <v>0</v>
      </c>
      <c r="BE32" s="52">
        <v>0</v>
      </c>
      <c r="BF32" s="52">
        <f>32</f>
        <v>32</v>
      </c>
      <c r="BH32" s="52">
        <f>F32*AO32</f>
        <v>0</v>
      </c>
      <c r="BI32" s="52">
        <f>F32*AP32</f>
        <v>0</v>
      </c>
      <c r="BJ32" s="52">
        <f>F32*G32</f>
        <v>0</v>
      </c>
      <c r="BK32" s="52"/>
      <c r="BL32" s="52">
        <v>11</v>
      </c>
      <c r="BW32" s="52">
        <v>21</v>
      </c>
      <c r="BX32" s="3" t="s">
        <v>153</v>
      </c>
    </row>
    <row r="33" spans="1:76" ht="27" customHeight="1" x14ac:dyDescent="0.25">
      <c r="A33" s="55"/>
      <c r="B33" s="56" t="s">
        <v>57</v>
      </c>
      <c r="C33" s="138" t="s">
        <v>121</v>
      </c>
      <c r="D33" s="139"/>
      <c r="E33" s="139"/>
      <c r="F33" s="139"/>
      <c r="G33" s="139"/>
      <c r="H33" s="139"/>
      <c r="I33" s="139"/>
      <c r="J33" s="139"/>
      <c r="K33" s="140"/>
    </row>
    <row r="34" spans="1:76" ht="25.5" x14ac:dyDescent="0.25">
      <c r="A34" s="1" t="s">
        <v>111</v>
      </c>
      <c r="B34" s="2" t="s">
        <v>154</v>
      </c>
      <c r="C34" s="66" t="s">
        <v>155</v>
      </c>
      <c r="D34" s="67"/>
      <c r="E34" s="2" t="s">
        <v>138</v>
      </c>
      <c r="F34" s="52">
        <v>31</v>
      </c>
      <c r="G34" s="52">
        <v>0</v>
      </c>
      <c r="H34" s="52">
        <f>F34*AO34</f>
        <v>0</v>
      </c>
      <c r="I34" s="52">
        <f>F34*AP34</f>
        <v>0</v>
      </c>
      <c r="J34" s="52">
        <f>F34*G34</f>
        <v>0</v>
      </c>
      <c r="K34" s="53" t="s">
        <v>125</v>
      </c>
      <c r="Z34" s="52">
        <f>IF(AQ34="5",BJ34,0)</f>
        <v>0</v>
      </c>
      <c r="AB34" s="52">
        <f>IF(AQ34="1",BH34,0)</f>
        <v>0</v>
      </c>
      <c r="AC34" s="52">
        <f>IF(AQ34="1",BI34,0)</f>
        <v>0</v>
      </c>
      <c r="AD34" s="52">
        <f>IF(AQ34="7",BH34,0)</f>
        <v>0</v>
      </c>
      <c r="AE34" s="52">
        <f>IF(AQ34="7",BI34,0)</f>
        <v>0</v>
      </c>
      <c r="AF34" s="52">
        <f>IF(AQ34="2",BH34,0)</f>
        <v>0</v>
      </c>
      <c r="AG34" s="52">
        <f>IF(AQ34="2",BI34,0)</f>
        <v>0</v>
      </c>
      <c r="AH34" s="52">
        <f>IF(AQ34="0",BJ34,0)</f>
        <v>0</v>
      </c>
      <c r="AI34" s="34" t="s">
        <v>113</v>
      </c>
      <c r="AJ34" s="52">
        <f>IF(AN34=0,J34,0)</f>
        <v>0</v>
      </c>
      <c r="AK34" s="52">
        <f>IF(AN34=12,J34,0)</f>
        <v>0</v>
      </c>
      <c r="AL34" s="52">
        <f>IF(AN34=21,J34,0)</f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114</v>
      </c>
      <c r="AV34" s="52">
        <f>AW34+AX34</f>
        <v>0</v>
      </c>
      <c r="AW34" s="52">
        <f>F34*AO34</f>
        <v>0</v>
      </c>
      <c r="AX34" s="52">
        <f>F34*AP34</f>
        <v>0</v>
      </c>
      <c r="AY34" s="54" t="s">
        <v>118</v>
      </c>
      <c r="AZ34" s="54" t="s">
        <v>119</v>
      </c>
      <c r="BA34" s="34" t="s">
        <v>120</v>
      </c>
      <c r="BC34" s="52">
        <f>AW34+AX34</f>
        <v>0</v>
      </c>
      <c r="BD34" s="52">
        <f>G34/(100-BE34)*100</f>
        <v>0</v>
      </c>
      <c r="BE34" s="52">
        <v>0</v>
      </c>
      <c r="BF34" s="52">
        <f>34</f>
        <v>34</v>
      </c>
      <c r="BH34" s="52">
        <f>F34*AO34</f>
        <v>0</v>
      </c>
      <c r="BI34" s="52">
        <f>F34*AP34</f>
        <v>0</v>
      </c>
      <c r="BJ34" s="52">
        <f>F34*G34</f>
        <v>0</v>
      </c>
      <c r="BK34" s="52"/>
      <c r="BL34" s="52">
        <v>11</v>
      </c>
      <c r="BW34" s="52">
        <v>21</v>
      </c>
      <c r="BX34" s="3" t="s">
        <v>155</v>
      </c>
    </row>
    <row r="35" spans="1:76" ht="27" customHeight="1" x14ac:dyDescent="0.25">
      <c r="A35" s="55"/>
      <c r="B35" s="56" t="s">
        <v>57</v>
      </c>
      <c r="C35" s="138" t="s">
        <v>121</v>
      </c>
      <c r="D35" s="139"/>
      <c r="E35" s="139"/>
      <c r="F35" s="139"/>
      <c r="G35" s="139"/>
      <c r="H35" s="139"/>
      <c r="I35" s="139"/>
      <c r="J35" s="139"/>
      <c r="K35" s="140"/>
    </row>
    <row r="36" spans="1:76" ht="25.5" x14ac:dyDescent="0.25">
      <c r="A36" s="1" t="s">
        <v>156</v>
      </c>
      <c r="B36" s="2" t="s">
        <v>157</v>
      </c>
      <c r="C36" s="66" t="s">
        <v>158</v>
      </c>
      <c r="D36" s="67"/>
      <c r="E36" s="2" t="s">
        <v>138</v>
      </c>
      <c r="F36" s="52">
        <v>14</v>
      </c>
      <c r="G36" s="52">
        <v>0</v>
      </c>
      <c r="H36" s="52">
        <f>F36*AO36</f>
        <v>0</v>
      </c>
      <c r="I36" s="52">
        <f>F36*AP36</f>
        <v>0</v>
      </c>
      <c r="J36" s="52">
        <f>F36*G36</f>
        <v>0</v>
      </c>
      <c r="K36" s="53" t="s">
        <v>125</v>
      </c>
      <c r="Z36" s="52">
        <f>IF(AQ36="5",BJ36,0)</f>
        <v>0</v>
      </c>
      <c r="AB36" s="52">
        <f>IF(AQ36="1",BH36,0)</f>
        <v>0</v>
      </c>
      <c r="AC36" s="52">
        <f>IF(AQ36="1",BI36,0)</f>
        <v>0</v>
      </c>
      <c r="AD36" s="52">
        <f>IF(AQ36="7",BH36,0)</f>
        <v>0</v>
      </c>
      <c r="AE36" s="52">
        <f>IF(AQ36="7",BI36,0)</f>
        <v>0</v>
      </c>
      <c r="AF36" s="52">
        <f>IF(AQ36="2",BH36,0)</f>
        <v>0</v>
      </c>
      <c r="AG36" s="52">
        <f>IF(AQ36="2",BI36,0)</f>
        <v>0</v>
      </c>
      <c r="AH36" s="52">
        <f>IF(AQ36="0",BJ36,0)</f>
        <v>0</v>
      </c>
      <c r="AI36" s="34" t="s">
        <v>113</v>
      </c>
      <c r="AJ36" s="52">
        <f>IF(AN36=0,J36,0)</f>
        <v>0</v>
      </c>
      <c r="AK36" s="52">
        <f>IF(AN36=12,J36,0)</f>
        <v>0</v>
      </c>
      <c r="AL36" s="52">
        <f>IF(AN36=21,J36,0)</f>
        <v>0</v>
      </c>
      <c r="AN36" s="52">
        <v>21</v>
      </c>
      <c r="AO36" s="52">
        <f>G36*0</f>
        <v>0</v>
      </c>
      <c r="AP36" s="52">
        <f>G36*(1-0)</f>
        <v>0</v>
      </c>
      <c r="AQ36" s="54" t="s">
        <v>114</v>
      </c>
      <c r="AV36" s="52">
        <f>AW36+AX36</f>
        <v>0</v>
      </c>
      <c r="AW36" s="52">
        <f>F36*AO36</f>
        <v>0</v>
      </c>
      <c r="AX36" s="52">
        <f>F36*AP36</f>
        <v>0</v>
      </c>
      <c r="AY36" s="54" t="s">
        <v>118</v>
      </c>
      <c r="AZ36" s="54" t="s">
        <v>119</v>
      </c>
      <c r="BA36" s="34" t="s">
        <v>120</v>
      </c>
      <c r="BC36" s="52">
        <f>AW36+AX36</f>
        <v>0</v>
      </c>
      <c r="BD36" s="52">
        <f>G36/(100-BE36)*100</f>
        <v>0</v>
      </c>
      <c r="BE36" s="52">
        <v>0</v>
      </c>
      <c r="BF36" s="52">
        <f>36</f>
        <v>36</v>
      </c>
      <c r="BH36" s="52">
        <f>F36*AO36</f>
        <v>0</v>
      </c>
      <c r="BI36" s="52">
        <f>F36*AP36</f>
        <v>0</v>
      </c>
      <c r="BJ36" s="52">
        <f>F36*G36</f>
        <v>0</v>
      </c>
      <c r="BK36" s="52"/>
      <c r="BL36" s="52">
        <v>11</v>
      </c>
      <c r="BW36" s="52">
        <v>21</v>
      </c>
      <c r="BX36" s="3" t="s">
        <v>158</v>
      </c>
    </row>
    <row r="37" spans="1:76" ht="27" customHeight="1" x14ac:dyDescent="0.25">
      <c r="A37" s="55"/>
      <c r="B37" s="56" t="s">
        <v>57</v>
      </c>
      <c r="C37" s="138" t="s">
        <v>121</v>
      </c>
      <c r="D37" s="139"/>
      <c r="E37" s="139"/>
      <c r="F37" s="139"/>
      <c r="G37" s="139"/>
      <c r="H37" s="139"/>
      <c r="I37" s="139"/>
      <c r="J37" s="139"/>
      <c r="K37" s="140"/>
    </row>
    <row r="38" spans="1:76" ht="25.5" x14ac:dyDescent="0.25">
      <c r="A38" s="1" t="s">
        <v>159</v>
      </c>
      <c r="B38" s="2" t="s">
        <v>160</v>
      </c>
      <c r="C38" s="66" t="s">
        <v>161</v>
      </c>
      <c r="D38" s="67"/>
      <c r="E38" s="2" t="s">
        <v>138</v>
      </c>
      <c r="F38" s="52">
        <v>10</v>
      </c>
      <c r="G38" s="52">
        <v>0</v>
      </c>
      <c r="H38" s="52">
        <f>F38*AO38</f>
        <v>0</v>
      </c>
      <c r="I38" s="52">
        <f>F38*AP38</f>
        <v>0</v>
      </c>
      <c r="J38" s="52">
        <f>F38*G38</f>
        <v>0</v>
      </c>
      <c r="K38" s="53" t="s">
        <v>125</v>
      </c>
      <c r="Z38" s="52">
        <f>IF(AQ38="5",BJ38,0)</f>
        <v>0</v>
      </c>
      <c r="AB38" s="52">
        <f>IF(AQ38="1",BH38,0)</f>
        <v>0</v>
      </c>
      <c r="AC38" s="52">
        <f>IF(AQ38="1",BI38,0)</f>
        <v>0</v>
      </c>
      <c r="AD38" s="52">
        <f>IF(AQ38="7",BH38,0)</f>
        <v>0</v>
      </c>
      <c r="AE38" s="52">
        <f>IF(AQ38="7",BI38,0)</f>
        <v>0</v>
      </c>
      <c r="AF38" s="52">
        <f>IF(AQ38="2",BH38,0)</f>
        <v>0</v>
      </c>
      <c r="AG38" s="52">
        <f>IF(AQ38="2",BI38,0)</f>
        <v>0</v>
      </c>
      <c r="AH38" s="52">
        <f>IF(AQ38="0",BJ38,0)</f>
        <v>0</v>
      </c>
      <c r="AI38" s="34" t="s">
        <v>113</v>
      </c>
      <c r="AJ38" s="52">
        <f>IF(AN38=0,J38,0)</f>
        <v>0</v>
      </c>
      <c r="AK38" s="52">
        <f>IF(AN38=12,J38,0)</f>
        <v>0</v>
      </c>
      <c r="AL38" s="52">
        <f>IF(AN38=21,J38,0)</f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114</v>
      </c>
      <c r="AV38" s="52">
        <f>AW38+AX38</f>
        <v>0</v>
      </c>
      <c r="AW38" s="52">
        <f>F38*AO38</f>
        <v>0</v>
      </c>
      <c r="AX38" s="52">
        <f>F38*AP38</f>
        <v>0</v>
      </c>
      <c r="AY38" s="54" t="s">
        <v>118</v>
      </c>
      <c r="AZ38" s="54" t="s">
        <v>119</v>
      </c>
      <c r="BA38" s="34" t="s">
        <v>120</v>
      </c>
      <c r="BC38" s="52">
        <f>AW38+AX38</f>
        <v>0</v>
      </c>
      <c r="BD38" s="52">
        <f>G38/(100-BE38)*100</f>
        <v>0</v>
      </c>
      <c r="BE38" s="52">
        <v>0</v>
      </c>
      <c r="BF38" s="52">
        <f>38</f>
        <v>38</v>
      </c>
      <c r="BH38" s="52">
        <f>F38*AO38</f>
        <v>0</v>
      </c>
      <c r="BI38" s="52">
        <f>F38*AP38</f>
        <v>0</v>
      </c>
      <c r="BJ38" s="52">
        <f>F38*G38</f>
        <v>0</v>
      </c>
      <c r="BK38" s="52"/>
      <c r="BL38" s="52">
        <v>11</v>
      </c>
      <c r="BW38" s="52">
        <v>21</v>
      </c>
      <c r="BX38" s="3" t="s">
        <v>161</v>
      </c>
    </row>
    <row r="39" spans="1:76" ht="27" customHeight="1" x14ac:dyDescent="0.25">
      <c r="A39" s="55"/>
      <c r="B39" s="56" t="s">
        <v>57</v>
      </c>
      <c r="C39" s="138" t="s">
        <v>121</v>
      </c>
      <c r="D39" s="139"/>
      <c r="E39" s="139"/>
      <c r="F39" s="139"/>
      <c r="G39" s="139"/>
      <c r="H39" s="139"/>
      <c r="I39" s="139"/>
      <c r="J39" s="139"/>
      <c r="K39" s="140"/>
    </row>
    <row r="40" spans="1:76" ht="25.5" x14ac:dyDescent="0.25">
      <c r="A40" s="1" t="s">
        <v>162</v>
      </c>
      <c r="B40" s="2" t="s">
        <v>163</v>
      </c>
      <c r="C40" s="66" t="s">
        <v>164</v>
      </c>
      <c r="D40" s="67"/>
      <c r="E40" s="2" t="s">
        <v>138</v>
      </c>
      <c r="F40" s="52">
        <v>5</v>
      </c>
      <c r="G40" s="52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125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113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>G40*0</f>
        <v>0</v>
      </c>
      <c r="AP40" s="52">
        <f>G40*(1-0)</f>
        <v>0</v>
      </c>
      <c r="AQ40" s="54" t="s">
        <v>114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118</v>
      </c>
      <c r="AZ40" s="54" t="s">
        <v>119</v>
      </c>
      <c r="BA40" s="34" t="s">
        <v>120</v>
      </c>
      <c r="BC40" s="52">
        <f>AW40+AX40</f>
        <v>0</v>
      </c>
      <c r="BD40" s="52">
        <f>G40/(100-BE40)*100</f>
        <v>0</v>
      </c>
      <c r="BE40" s="52">
        <v>0</v>
      </c>
      <c r="BF40" s="52">
        <f>40</f>
        <v>40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>
        <v>11</v>
      </c>
      <c r="BW40" s="52">
        <v>21</v>
      </c>
      <c r="BX40" s="3" t="s">
        <v>164</v>
      </c>
    </row>
    <row r="41" spans="1:76" ht="27" customHeight="1" x14ac:dyDescent="0.25">
      <c r="A41" s="55"/>
      <c r="B41" s="56" t="s">
        <v>57</v>
      </c>
      <c r="C41" s="138" t="s">
        <v>121</v>
      </c>
      <c r="D41" s="139"/>
      <c r="E41" s="139"/>
      <c r="F41" s="139"/>
      <c r="G41" s="139"/>
      <c r="H41" s="139"/>
      <c r="I41" s="139"/>
      <c r="J41" s="139"/>
      <c r="K41" s="140"/>
    </row>
    <row r="42" spans="1:76" ht="25.5" x14ac:dyDescent="0.25">
      <c r="A42" s="1" t="s">
        <v>165</v>
      </c>
      <c r="B42" s="2" t="s">
        <v>166</v>
      </c>
      <c r="C42" s="66" t="s">
        <v>167</v>
      </c>
      <c r="D42" s="67"/>
      <c r="E42" s="2" t="s">
        <v>117</v>
      </c>
      <c r="F42" s="52">
        <v>78</v>
      </c>
      <c r="G42" s="52">
        <v>0</v>
      </c>
      <c r="H42" s="52">
        <f>F42*AO42</f>
        <v>0</v>
      </c>
      <c r="I42" s="52">
        <f>F42*AP42</f>
        <v>0</v>
      </c>
      <c r="J42" s="52">
        <f>F42*G42</f>
        <v>0</v>
      </c>
      <c r="K42" s="53" t="s">
        <v>130</v>
      </c>
      <c r="Z42" s="52">
        <f>IF(AQ42="5",BJ42,0)</f>
        <v>0</v>
      </c>
      <c r="AB42" s="52">
        <f>IF(AQ42="1",BH42,0)</f>
        <v>0</v>
      </c>
      <c r="AC42" s="52">
        <f>IF(AQ42="1",BI42,0)</f>
        <v>0</v>
      </c>
      <c r="AD42" s="52">
        <f>IF(AQ42="7",BH42,0)</f>
        <v>0</v>
      </c>
      <c r="AE42" s="52">
        <f>IF(AQ42="7",BI42,0)</f>
        <v>0</v>
      </c>
      <c r="AF42" s="52">
        <f>IF(AQ42="2",BH42,0)</f>
        <v>0</v>
      </c>
      <c r="AG42" s="52">
        <f>IF(AQ42="2",BI42,0)</f>
        <v>0</v>
      </c>
      <c r="AH42" s="52">
        <f>IF(AQ42="0",BJ42,0)</f>
        <v>0</v>
      </c>
      <c r="AI42" s="34" t="s">
        <v>113</v>
      </c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G42*0</f>
        <v>0</v>
      </c>
      <c r="AP42" s="52">
        <f>G42*(1-0)</f>
        <v>0</v>
      </c>
      <c r="AQ42" s="54" t="s">
        <v>114</v>
      </c>
      <c r="AV42" s="52">
        <f>AW42+AX42</f>
        <v>0</v>
      </c>
      <c r="AW42" s="52">
        <f>F42*AO42</f>
        <v>0</v>
      </c>
      <c r="AX42" s="52">
        <f>F42*AP42</f>
        <v>0</v>
      </c>
      <c r="AY42" s="54" t="s">
        <v>118</v>
      </c>
      <c r="AZ42" s="54" t="s">
        <v>119</v>
      </c>
      <c r="BA42" s="34" t="s">
        <v>120</v>
      </c>
      <c r="BC42" s="52">
        <f>AW42+AX42</f>
        <v>0</v>
      </c>
      <c r="BD42" s="52">
        <f>G42/(100-BE42)*100</f>
        <v>0</v>
      </c>
      <c r="BE42" s="52">
        <v>0</v>
      </c>
      <c r="BF42" s="52">
        <f>42</f>
        <v>42</v>
      </c>
      <c r="BH42" s="52">
        <f>F42*AO42</f>
        <v>0</v>
      </c>
      <c r="BI42" s="52">
        <f>F42*AP42</f>
        <v>0</v>
      </c>
      <c r="BJ42" s="52">
        <f>F42*G42</f>
        <v>0</v>
      </c>
      <c r="BK42" s="52"/>
      <c r="BL42" s="52">
        <v>11</v>
      </c>
      <c r="BW42" s="52">
        <v>21</v>
      </c>
      <c r="BX42" s="3" t="s">
        <v>167</v>
      </c>
    </row>
    <row r="43" spans="1:76" ht="27" customHeight="1" x14ac:dyDescent="0.25">
      <c r="A43" s="55"/>
      <c r="B43" s="56" t="s">
        <v>57</v>
      </c>
      <c r="C43" s="138" t="s">
        <v>121</v>
      </c>
      <c r="D43" s="139"/>
      <c r="E43" s="139"/>
      <c r="F43" s="139"/>
      <c r="G43" s="139"/>
      <c r="H43" s="139"/>
      <c r="I43" s="139"/>
      <c r="J43" s="139"/>
      <c r="K43" s="140"/>
    </row>
    <row r="44" spans="1:76" x14ac:dyDescent="0.25">
      <c r="A44" s="57" t="s">
        <v>4</v>
      </c>
      <c r="B44" s="58" t="s">
        <v>4</v>
      </c>
      <c r="C44" s="141" t="s">
        <v>168</v>
      </c>
      <c r="D44" s="142"/>
      <c r="E44" s="59" t="s">
        <v>73</v>
      </c>
      <c r="F44" s="59" t="s">
        <v>73</v>
      </c>
      <c r="G44" s="59" t="s">
        <v>73</v>
      </c>
      <c r="H44" s="60">
        <f>H45</f>
        <v>0</v>
      </c>
      <c r="I44" s="60">
        <f>I45</f>
        <v>0</v>
      </c>
      <c r="J44" s="60">
        <f>J45</f>
        <v>0</v>
      </c>
      <c r="K44" s="61" t="s">
        <v>4</v>
      </c>
    </row>
    <row r="45" spans="1:76" x14ac:dyDescent="0.25">
      <c r="A45" s="48" t="s">
        <v>4</v>
      </c>
      <c r="B45" s="49" t="s">
        <v>169</v>
      </c>
      <c r="C45" s="143" t="s">
        <v>170</v>
      </c>
      <c r="D45" s="144"/>
      <c r="E45" s="50" t="s">
        <v>73</v>
      </c>
      <c r="F45" s="50" t="s">
        <v>73</v>
      </c>
      <c r="G45" s="50" t="s">
        <v>73</v>
      </c>
      <c r="H45" s="28">
        <f>SUM(H46:H53)</f>
        <v>0</v>
      </c>
      <c r="I45" s="28">
        <f>SUM(I46:I53)</f>
        <v>0</v>
      </c>
      <c r="J45" s="28">
        <f>SUM(J46:J53)</f>
        <v>0</v>
      </c>
      <c r="K45" s="51" t="s">
        <v>4</v>
      </c>
      <c r="AI45" s="34" t="s">
        <v>171</v>
      </c>
      <c r="AS45" s="28">
        <f>SUM(AJ46:AJ53)</f>
        <v>0</v>
      </c>
      <c r="AT45" s="28">
        <f>SUM(AK46:AK53)</f>
        <v>0</v>
      </c>
      <c r="AU45" s="28">
        <f>SUM(AL46:AL53)</f>
        <v>0</v>
      </c>
    </row>
    <row r="46" spans="1:76" x14ac:dyDescent="0.25">
      <c r="A46" s="1" t="s">
        <v>172</v>
      </c>
      <c r="B46" s="2" t="s">
        <v>173</v>
      </c>
      <c r="C46" s="66" t="s">
        <v>174</v>
      </c>
      <c r="D46" s="67"/>
      <c r="E46" s="2" t="s">
        <v>175</v>
      </c>
      <c r="F46" s="52">
        <v>1</v>
      </c>
      <c r="G46" s="52">
        <v>0</v>
      </c>
      <c r="H46" s="52">
        <f>F46*AO46</f>
        <v>0</v>
      </c>
      <c r="I46" s="52">
        <f>F46*AP46</f>
        <v>0</v>
      </c>
      <c r="J46" s="52">
        <f>F46*G46</f>
        <v>0</v>
      </c>
      <c r="K46" s="53" t="s">
        <v>4</v>
      </c>
      <c r="Z46" s="52">
        <f>IF(AQ46="5",BJ46,0)</f>
        <v>0</v>
      </c>
      <c r="AB46" s="52">
        <f>IF(AQ46="1",BH46,0)</f>
        <v>0</v>
      </c>
      <c r="AC46" s="52">
        <f>IF(AQ46="1",BI46,0)</f>
        <v>0</v>
      </c>
      <c r="AD46" s="52">
        <f>IF(AQ46="7",BH46,0)</f>
        <v>0</v>
      </c>
      <c r="AE46" s="52">
        <f>IF(AQ46="7",BI46,0)</f>
        <v>0</v>
      </c>
      <c r="AF46" s="52">
        <f>IF(AQ46="2",BH46,0)</f>
        <v>0</v>
      </c>
      <c r="AG46" s="52">
        <f>IF(AQ46="2",BI46,0)</f>
        <v>0</v>
      </c>
      <c r="AH46" s="52">
        <f>IF(AQ46="0",BJ46,0)</f>
        <v>0</v>
      </c>
      <c r="AI46" s="34" t="s">
        <v>171</v>
      </c>
      <c r="AJ46" s="52">
        <f>IF(AN46=0,J46,0)</f>
        <v>0</v>
      </c>
      <c r="AK46" s="52">
        <f>IF(AN46=12,J46,0)</f>
        <v>0</v>
      </c>
      <c r="AL46" s="52">
        <f>IF(AN46=21,J46,0)</f>
        <v>0</v>
      </c>
      <c r="AN46" s="52">
        <v>21</v>
      </c>
      <c r="AO46" s="52">
        <f>G46*0</f>
        <v>0</v>
      </c>
      <c r="AP46" s="52">
        <f>G46*(1-0)</f>
        <v>0</v>
      </c>
      <c r="AQ46" s="54" t="s">
        <v>114</v>
      </c>
      <c r="AV46" s="52">
        <f>AW46+AX46</f>
        <v>0</v>
      </c>
      <c r="AW46" s="52">
        <f>F46*AO46</f>
        <v>0</v>
      </c>
      <c r="AX46" s="52">
        <f>F46*AP46</f>
        <v>0</v>
      </c>
      <c r="AY46" s="54" t="s">
        <v>176</v>
      </c>
      <c r="AZ46" s="54" t="s">
        <v>177</v>
      </c>
      <c r="BA46" s="34" t="s">
        <v>178</v>
      </c>
      <c r="BC46" s="52">
        <f>AW46+AX46</f>
        <v>0</v>
      </c>
      <c r="BD46" s="52">
        <f>G46/(100-BE46)*100</f>
        <v>0</v>
      </c>
      <c r="BE46" s="52">
        <v>0</v>
      </c>
      <c r="BF46" s="52">
        <f>46</f>
        <v>46</v>
      </c>
      <c r="BH46" s="52">
        <f>F46*AO46</f>
        <v>0</v>
      </c>
      <c r="BI46" s="52">
        <f>F46*AP46</f>
        <v>0</v>
      </c>
      <c r="BJ46" s="52">
        <f>F46*G46</f>
        <v>0</v>
      </c>
      <c r="BK46" s="52"/>
      <c r="BL46" s="52"/>
      <c r="BW46" s="52">
        <v>21</v>
      </c>
      <c r="BX46" s="3" t="s">
        <v>174</v>
      </c>
    </row>
    <row r="47" spans="1:76" ht="27" customHeight="1" x14ac:dyDescent="0.25">
      <c r="A47" s="55"/>
      <c r="B47" s="56" t="s">
        <v>57</v>
      </c>
      <c r="C47" s="138" t="s">
        <v>121</v>
      </c>
      <c r="D47" s="139"/>
      <c r="E47" s="139"/>
      <c r="F47" s="139"/>
      <c r="G47" s="139"/>
      <c r="H47" s="139"/>
      <c r="I47" s="139"/>
      <c r="J47" s="139"/>
      <c r="K47" s="140"/>
    </row>
    <row r="48" spans="1:76" x14ac:dyDescent="0.25">
      <c r="A48" s="1" t="s">
        <v>179</v>
      </c>
      <c r="B48" s="2" t="s">
        <v>180</v>
      </c>
      <c r="C48" s="66" t="s">
        <v>181</v>
      </c>
      <c r="D48" s="67"/>
      <c r="E48" s="2" t="s">
        <v>175</v>
      </c>
      <c r="F48" s="52">
        <v>1</v>
      </c>
      <c r="G48" s="52">
        <v>0</v>
      </c>
      <c r="H48" s="52">
        <f t="shared" ref="H48:H53" si="0">F48*AO48</f>
        <v>0</v>
      </c>
      <c r="I48" s="52">
        <f t="shared" ref="I48:I53" si="1">F48*AP48</f>
        <v>0</v>
      </c>
      <c r="J48" s="52">
        <f t="shared" ref="J48:J53" si="2">F48*G48</f>
        <v>0</v>
      </c>
      <c r="K48" s="53" t="s">
        <v>125</v>
      </c>
      <c r="Z48" s="52">
        <f t="shared" ref="Z48:Z53" si="3">IF(AQ48="5",BJ48,0)</f>
        <v>0</v>
      </c>
      <c r="AB48" s="52">
        <f t="shared" ref="AB48:AB53" si="4">IF(AQ48="1",BH48,0)</f>
        <v>0</v>
      </c>
      <c r="AC48" s="52">
        <f t="shared" ref="AC48:AC53" si="5">IF(AQ48="1",BI48,0)</f>
        <v>0</v>
      </c>
      <c r="AD48" s="52">
        <f t="shared" ref="AD48:AD53" si="6">IF(AQ48="7",BH48,0)</f>
        <v>0</v>
      </c>
      <c r="AE48" s="52">
        <f t="shared" ref="AE48:AE53" si="7">IF(AQ48="7",BI48,0)</f>
        <v>0</v>
      </c>
      <c r="AF48" s="52">
        <f t="shared" ref="AF48:AF53" si="8">IF(AQ48="2",BH48,0)</f>
        <v>0</v>
      </c>
      <c r="AG48" s="52">
        <f t="shared" ref="AG48:AG53" si="9">IF(AQ48="2",BI48,0)</f>
        <v>0</v>
      </c>
      <c r="AH48" s="52">
        <f t="shared" ref="AH48:AH53" si="10">IF(AQ48="0",BJ48,0)</f>
        <v>0</v>
      </c>
      <c r="AI48" s="34" t="s">
        <v>171</v>
      </c>
      <c r="AJ48" s="52">
        <f t="shared" ref="AJ48:AJ53" si="11">IF(AN48=0,J48,0)</f>
        <v>0</v>
      </c>
      <c r="AK48" s="52">
        <f t="shared" ref="AK48:AK53" si="12">IF(AN48=12,J48,0)</f>
        <v>0</v>
      </c>
      <c r="AL48" s="52">
        <f t="shared" ref="AL48:AL53" si="13">IF(AN48=21,J48,0)</f>
        <v>0</v>
      </c>
      <c r="AN48" s="52">
        <v>21</v>
      </c>
      <c r="AO48" s="52">
        <f t="shared" ref="AO48:AO53" si="14">G48*0</f>
        <v>0</v>
      </c>
      <c r="AP48" s="52">
        <f t="shared" ref="AP48:AP53" si="15">G48*(1-0)</f>
        <v>0</v>
      </c>
      <c r="AQ48" s="54" t="s">
        <v>114</v>
      </c>
      <c r="AV48" s="52">
        <f t="shared" ref="AV48:AV53" si="16">AW48+AX48</f>
        <v>0</v>
      </c>
      <c r="AW48" s="52">
        <f t="shared" ref="AW48:AW53" si="17">F48*AO48</f>
        <v>0</v>
      </c>
      <c r="AX48" s="52">
        <f t="shared" ref="AX48:AX53" si="18">F48*AP48</f>
        <v>0</v>
      </c>
      <c r="AY48" s="54" t="s">
        <v>176</v>
      </c>
      <c r="AZ48" s="54" t="s">
        <v>177</v>
      </c>
      <c r="BA48" s="34" t="s">
        <v>178</v>
      </c>
      <c r="BC48" s="52">
        <f t="shared" ref="BC48:BC53" si="19">AW48+AX48</f>
        <v>0</v>
      </c>
      <c r="BD48" s="52">
        <f t="shared" ref="BD48:BD53" si="20">G48/(100-BE48)*100</f>
        <v>0</v>
      </c>
      <c r="BE48" s="52">
        <v>0</v>
      </c>
      <c r="BF48" s="52">
        <f>48</f>
        <v>48</v>
      </c>
      <c r="BH48" s="52">
        <f t="shared" ref="BH48:BH53" si="21">F48*AO48</f>
        <v>0</v>
      </c>
      <c r="BI48" s="52">
        <f t="shared" ref="BI48:BI53" si="22">F48*AP48</f>
        <v>0</v>
      </c>
      <c r="BJ48" s="52">
        <f t="shared" ref="BJ48:BJ53" si="23">F48*G48</f>
        <v>0</v>
      </c>
      <c r="BK48" s="52"/>
      <c r="BL48" s="52"/>
      <c r="BW48" s="52">
        <v>21</v>
      </c>
      <c r="BX48" s="3" t="s">
        <v>181</v>
      </c>
    </row>
    <row r="49" spans="1:76" x14ac:dyDescent="0.25">
      <c r="A49" s="1" t="s">
        <v>182</v>
      </c>
      <c r="B49" s="2" t="s">
        <v>180</v>
      </c>
      <c r="C49" s="66" t="s">
        <v>183</v>
      </c>
      <c r="D49" s="67"/>
      <c r="E49" s="2" t="s">
        <v>175</v>
      </c>
      <c r="F49" s="52">
        <v>1</v>
      </c>
      <c r="G49" s="52">
        <v>0</v>
      </c>
      <c r="H49" s="52">
        <f t="shared" si="0"/>
        <v>0</v>
      </c>
      <c r="I49" s="52">
        <f t="shared" si="1"/>
        <v>0</v>
      </c>
      <c r="J49" s="52">
        <f t="shared" si="2"/>
        <v>0</v>
      </c>
      <c r="K49" s="53" t="s">
        <v>125</v>
      </c>
      <c r="Z49" s="52">
        <f t="shared" si="3"/>
        <v>0</v>
      </c>
      <c r="AB49" s="52">
        <f t="shared" si="4"/>
        <v>0</v>
      </c>
      <c r="AC49" s="52">
        <f t="shared" si="5"/>
        <v>0</v>
      </c>
      <c r="AD49" s="52">
        <f t="shared" si="6"/>
        <v>0</v>
      </c>
      <c r="AE49" s="52">
        <f t="shared" si="7"/>
        <v>0</v>
      </c>
      <c r="AF49" s="52">
        <f t="shared" si="8"/>
        <v>0</v>
      </c>
      <c r="AG49" s="52">
        <f t="shared" si="9"/>
        <v>0</v>
      </c>
      <c r="AH49" s="52">
        <f t="shared" si="10"/>
        <v>0</v>
      </c>
      <c r="AI49" s="34" t="s">
        <v>171</v>
      </c>
      <c r="AJ49" s="52">
        <f t="shared" si="11"/>
        <v>0</v>
      </c>
      <c r="AK49" s="52">
        <f t="shared" si="12"/>
        <v>0</v>
      </c>
      <c r="AL49" s="52">
        <f t="shared" si="13"/>
        <v>0</v>
      </c>
      <c r="AN49" s="52">
        <v>21</v>
      </c>
      <c r="AO49" s="52">
        <f t="shared" si="14"/>
        <v>0</v>
      </c>
      <c r="AP49" s="52">
        <f t="shared" si="15"/>
        <v>0</v>
      </c>
      <c r="AQ49" s="54" t="s">
        <v>114</v>
      </c>
      <c r="AV49" s="52">
        <f t="shared" si="16"/>
        <v>0</v>
      </c>
      <c r="AW49" s="52">
        <f t="shared" si="17"/>
        <v>0</v>
      </c>
      <c r="AX49" s="52">
        <f t="shared" si="18"/>
        <v>0</v>
      </c>
      <c r="AY49" s="54" t="s">
        <v>176</v>
      </c>
      <c r="AZ49" s="54" t="s">
        <v>177</v>
      </c>
      <c r="BA49" s="34" t="s">
        <v>178</v>
      </c>
      <c r="BC49" s="52">
        <f t="shared" si="19"/>
        <v>0</v>
      </c>
      <c r="BD49" s="52">
        <f t="shared" si="20"/>
        <v>0</v>
      </c>
      <c r="BE49" s="52">
        <v>0</v>
      </c>
      <c r="BF49" s="52">
        <f>49</f>
        <v>49</v>
      </c>
      <c r="BH49" s="52">
        <f t="shared" si="21"/>
        <v>0</v>
      </c>
      <c r="BI49" s="52">
        <f t="shared" si="22"/>
        <v>0</v>
      </c>
      <c r="BJ49" s="52">
        <f t="shared" si="23"/>
        <v>0</v>
      </c>
      <c r="BK49" s="52"/>
      <c r="BL49" s="52"/>
      <c r="BW49" s="52">
        <v>21</v>
      </c>
      <c r="BX49" s="3" t="s">
        <v>183</v>
      </c>
    </row>
    <row r="50" spans="1:76" x14ac:dyDescent="0.25">
      <c r="A50" s="1" t="s">
        <v>184</v>
      </c>
      <c r="B50" s="2" t="s">
        <v>180</v>
      </c>
      <c r="C50" s="66" t="s">
        <v>185</v>
      </c>
      <c r="D50" s="67"/>
      <c r="E50" s="2" t="s">
        <v>175</v>
      </c>
      <c r="F50" s="52">
        <v>1</v>
      </c>
      <c r="G50" s="52">
        <v>0</v>
      </c>
      <c r="H50" s="52">
        <f t="shared" si="0"/>
        <v>0</v>
      </c>
      <c r="I50" s="52">
        <f t="shared" si="1"/>
        <v>0</v>
      </c>
      <c r="J50" s="52">
        <f t="shared" si="2"/>
        <v>0</v>
      </c>
      <c r="K50" s="53" t="s">
        <v>125</v>
      </c>
      <c r="Z50" s="52">
        <f t="shared" si="3"/>
        <v>0</v>
      </c>
      <c r="AB50" s="52">
        <f t="shared" si="4"/>
        <v>0</v>
      </c>
      <c r="AC50" s="52">
        <f t="shared" si="5"/>
        <v>0</v>
      </c>
      <c r="AD50" s="52">
        <f t="shared" si="6"/>
        <v>0</v>
      </c>
      <c r="AE50" s="52">
        <f t="shared" si="7"/>
        <v>0</v>
      </c>
      <c r="AF50" s="52">
        <f t="shared" si="8"/>
        <v>0</v>
      </c>
      <c r="AG50" s="52">
        <f t="shared" si="9"/>
        <v>0</v>
      </c>
      <c r="AH50" s="52">
        <f t="shared" si="10"/>
        <v>0</v>
      </c>
      <c r="AI50" s="34" t="s">
        <v>171</v>
      </c>
      <c r="AJ50" s="52">
        <f t="shared" si="11"/>
        <v>0</v>
      </c>
      <c r="AK50" s="52">
        <f t="shared" si="12"/>
        <v>0</v>
      </c>
      <c r="AL50" s="52">
        <f t="shared" si="13"/>
        <v>0</v>
      </c>
      <c r="AN50" s="52">
        <v>21</v>
      </c>
      <c r="AO50" s="52">
        <f t="shared" si="14"/>
        <v>0</v>
      </c>
      <c r="AP50" s="52">
        <f t="shared" si="15"/>
        <v>0</v>
      </c>
      <c r="AQ50" s="54" t="s">
        <v>114</v>
      </c>
      <c r="AV50" s="52">
        <f t="shared" si="16"/>
        <v>0</v>
      </c>
      <c r="AW50" s="52">
        <f t="shared" si="17"/>
        <v>0</v>
      </c>
      <c r="AX50" s="52">
        <f t="shared" si="18"/>
        <v>0</v>
      </c>
      <c r="AY50" s="54" t="s">
        <v>176</v>
      </c>
      <c r="AZ50" s="54" t="s">
        <v>177</v>
      </c>
      <c r="BA50" s="34" t="s">
        <v>178</v>
      </c>
      <c r="BC50" s="52">
        <f t="shared" si="19"/>
        <v>0</v>
      </c>
      <c r="BD50" s="52">
        <f t="shared" si="20"/>
        <v>0</v>
      </c>
      <c r="BE50" s="52">
        <v>0</v>
      </c>
      <c r="BF50" s="52">
        <f>50</f>
        <v>50</v>
      </c>
      <c r="BH50" s="52">
        <f t="shared" si="21"/>
        <v>0</v>
      </c>
      <c r="BI50" s="52">
        <f t="shared" si="22"/>
        <v>0</v>
      </c>
      <c r="BJ50" s="52">
        <f t="shared" si="23"/>
        <v>0</v>
      </c>
      <c r="BK50" s="52"/>
      <c r="BL50" s="52"/>
      <c r="BW50" s="52">
        <v>21</v>
      </c>
      <c r="BX50" s="3" t="s">
        <v>185</v>
      </c>
    </row>
    <row r="51" spans="1:76" x14ac:dyDescent="0.25">
      <c r="A51" s="1" t="s">
        <v>186</v>
      </c>
      <c r="B51" s="2" t="s">
        <v>180</v>
      </c>
      <c r="C51" s="66" t="s">
        <v>187</v>
      </c>
      <c r="D51" s="67"/>
      <c r="E51" s="2" t="s">
        <v>175</v>
      </c>
      <c r="F51" s="52">
        <v>1</v>
      </c>
      <c r="G51" s="52">
        <v>0</v>
      </c>
      <c r="H51" s="52">
        <f t="shared" si="0"/>
        <v>0</v>
      </c>
      <c r="I51" s="52">
        <f t="shared" si="1"/>
        <v>0</v>
      </c>
      <c r="J51" s="52">
        <f t="shared" si="2"/>
        <v>0</v>
      </c>
      <c r="K51" s="53" t="s">
        <v>125</v>
      </c>
      <c r="Z51" s="52">
        <f t="shared" si="3"/>
        <v>0</v>
      </c>
      <c r="AB51" s="52">
        <f t="shared" si="4"/>
        <v>0</v>
      </c>
      <c r="AC51" s="52">
        <f t="shared" si="5"/>
        <v>0</v>
      </c>
      <c r="AD51" s="52">
        <f t="shared" si="6"/>
        <v>0</v>
      </c>
      <c r="AE51" s="52">
        <f t="shared" si="7"/>
        <v>0</v>
      </c>
      <c r="AF51" s="52">
        <f t="shared" si="8"/>
        <v>0</v>
      </c>
      <c r="AG51" s="52">
        <f t="shared" si="9"/>
        <v>0</v>
      </c>
      <c r="AH51" s="52">
        <f t="shared" si="10"/>
        <v>0</v>
      </c>
      <c r="AI51" s="34" t="s">
        <v>171</v>
      </c>
      <c r="AJ51" s="52">
        <f t="shared" si="11"/>
        <v>0</v>
      </c>
      <c r="AK51" s="52">
        <f t="shared" si="12"/>
        <v>0</v>
      </c>
      <c r="AL51" s="52">
        <f t="shared" si="13"/>
        <v>0</v>
      </c>
      <c r="AN51" s="52">
        <v>21</v>
      </c>
      <c r="AO51" s="52">
        <f t="shared" si="14"/>
        <v>0</v>
      </c>
      <c r="AP51" s="52">
        <f t="shared" si="15"/>
        <v>0</v>
      </c>
      <c r="AQ51" s="54" t="s">
        <v>114</v>
      </c>
      <c r="AV51" s="52">
        <f t="shared" si="16"/>
        <v>0</v>
      </c>
      <c r="AW51" s="52">
        <f t="shared" si="17"/>
        <v>0</v>
      </c>
      <c r="AX51" s="52">
        <f t="shared" si="18"/>
        <v>0</v>
      </c>
      <c r="AY51" s="54" t="s">
        <v>176</v>
      </c>
      <c r="AZ51" s="54" t="s">
        <v>177</v>
      </c>
      <c r="BA51" s="34" t="s">
        <v>178</v>
      </c>
      <c r="BC51" s="52">
        <f t="shared" si="19"/>
        <v>0</v>
      </c>
      <c r="BD51" s="52">
        <f t="shared" si="20"/>
        <v>0</v>
      </c>
      <c r="BE51" s="52">
        <v>0</v>
      </c>
      <c r="BF51" s="52">
        <f>51</f>
        <v>51</v>
      </c>
      <c r="BH51" s="52">
        <f t="shared" si="21"/>
        <v>0</v>
      </c>
      <c r="BI51" s="52">
        <f t="shared" si="22"/>
        <v>0</v>
      </c>
      <c r="BJ51" s="52">
        <f t="shared" si="23"/>
        <v>0</v>
      </c>
      <c r="BK51" s="52"/>
      <c r="BL51" s="52"/>
      <c r="BW51" s="52">
        <v>21</v>
      </c>
      <c r="BX51" s="3" t="s">
        <v>187</v>
      </c>
    </row>
    <row r="52" spans="1:76" x14ac:dyDescent="0.25">
      <c r="A52" s="1" t="s">
        <v>188</v>
      </c>
      <c r="B52" s="2" t="s">
        <v>180</v>
      </c>
      <c r="C52" s="66" t="s">
        <v>189</v>
      </c>
      <c r="D52" s="67"/>
      <c r="E52" s="2" t="s">
        <v>175</v>
      </c>
      <c r="F52" s="52">
        <v>1</v>
      </c>
      <c r="G52" s="52">
        <v>0</v>
      </c>
      <c r="H52" s="52">
        <f t="shared" si="0"/>
        <v>0</v>
      </c>
      <c r="I52" s="52">
        <f t="shared" si="1"/>
        <v>0</v>
      </c>
      <c r="J52" s="52">
        <f t="shared" si="2"/>
        <v>0</v>
      </c>
      <c r="K52" s="53" t="s">
        <v>125</v>
      </c>
      <c r="Z52" s="52">
        <f t="shared" si="3"/>
        <v>0</v>
      </c>
      <c r="AB52" s="52">
        <f t="shared" si="4"/>
        <v>0</v>
      </c>
      <c r="AC52" s="52">
        <f t="shared" si="5"/>
        <v>0</v>
      </c>
      <c r="AD52" s="52">
        <f t="shared" si="6"/>
        <v>0</v>
      </c>
      <c r="AE52" s="52">
        <f t="shared" si="7"/>
        <v>0</v>
      </c>
      <c r="AF52" s="52">
        <f t="shared" si="8"/>
        <v>0</v>
      </c>
      <c r="AG52" s="52">
        <f t="shared" si="9"/>
        <v>0</v>
      </c>
      <c r="AH52" s="52">
        <f t="shared" si="10"/>
        <v>0</v>
      </c>
      <c r="AI52" s="34" t="s">
        <v>171</v>
      </c>
      <c r="AJ52" s="52">
        <f t="shared" si="11"/>
        <v>0</v>
      </c>
      <c r="AK52" s="52">
        <f t="shared" si="12"/>
        <v>0</v>
      </c>
      <c r="AL52" s="52">
        <f t="shared" si="13"/>
        <v>0</v>
      </c>
      <c r="AN52" s="52">
        <v>21</v>
      </c>
      <c r="AO52" s="52">
        <f t="shared" si="14"/>
        <v>0</v>
      </c>
      <c r="AP52" s="52">
        <f t="shared" si="15"/>
        <v>0</v>
      </c>
      <c r="AQ52" s="54" t="s">
        <v>114</v>
      </c>
      <c r="AV52" s="52">
        <f t="shared" si="16"/>
        <v>0</v>
      </c>
      <c r="AW52" s="52">
        <f t="shared" si="17"/>
        <v>0</v>
      </c>
      <c r="AX52" s="52">
        <f t="shared" si="18"/>
        <v>0</v>
      </c>
      <c r="AY52" s="54" t="s">
        <v>176</v>
      </c>
      <c r="AZ52" s="54" t="s">
        <v>177</v>
      </c>
      <c r="BA52" s="34" t="s">
        <v>178</v>
      </c>
      <c r="BC52" s="52">
        <f t="shared" si="19"/>
        <v>0</v>
      </c>
      <c r="BD52" s="52">
        <f t="shared" si="20"/>
        <v>0</v>
      </c>
      <c r="BE52" s="52">
        <v>0</v>
      </c>
      <c r="BF52" s="52">
        <f>52</f>
        <v>52</v>
      </c>
      <c r="BH52" s="52">
        <f t="shared" si="21"/>
        <v>0</v>
      </c>
      <c r="BI52" s="52">
        <f t="shared" si="22"/>
        <v>0</v>
      </c>
      <c r="BJ52" s="52">
        <f t="shared" si="23"/>
        <v>0</v>
      </c>
      <c r="BK52" s="52"/>
      <c r="BL52" s="52"/>
      <c r="BW52" s="52">
        <v>21</v>
      </c>
      <c r="BX52" s="3" t="s">
        <v>189</v>
      </c>
    </row>
    <row r="53" spans="1:76" x14ac:dyDescent="0.25">
      <c r="A53" s="1" t="s">
        <v>190</v>
      </c>
      <c r="B53" s="2" t="s">
        <v>180</v>
      </c>
      <c r="C53" s="66" t="s">
        <v>191</v>
      </c>
      <c r="D53" s="67"/>
      <c r="E53" s="2" t="s">
        <v>175</v>
      </c>
      <c r="F53" s="52">
        <v>1</v>
      </c>
      <c r="G53" s="52">
        <v>0</v>
      </c>
      <c r="H53" s="52">
        <f t="shared" si="0"/>
        <v>0</v>
      </c>
      <c r="I53" s="52">
        <f t="shared" si="1"/>
        <v>0</v>
      </c>
      <c r="J53" s="52">
        <f t="shared" si="2"/>
        <v>0</v>
      </c>
      <c r="K53" s="53" t="s">
        <v>125</v>
      </c>
      <c r="Z53" s="52">
        <f t="shared" si="3"/>
        <v>0</v>
      </c>
      <c r="AB53" s="52">
        <f t="shared" si="4"/>
        <v>0</v>
      </c>
      <c r="AC53" s="52">
        <f t="shared" si="5"/>
        <v>0</v>
      </c>
      <c r="AD53" s="52">
        <f t="shared" si="6"/>
        <v>0</v>
      </c>
      <c r="AE53" s="52">
        <f t="shared" si="7"/>
        <v>0</v>
      </c>
      <c r="AF53" s="52">
        <f t="shared" si="8"/>
        <v>0</v>
      </c>
      <c r="AG53" s="52">
        <f t="shared" si="9"/>
        <v>0</v>
      </c>
      <c r="AH53" s="52">
        <f t="shared" si="10"/>
        <v>0</v>
      </c>
      <c r="AI53" s="34" t="s">
        <v>171</v>
      </c>
      <c r="AJ53" s="52">
        <f t="shared" si="11"/>
        <v>0</v>
      </c>
      <c r="AK53" s="52">
        <f t="shared" si="12"/>
        <v>0</v>
      </c>
      <c r="AL53" s="52">
        <f t="shared" si="13"/>
        <v>0</v>
      </c>
      <c r="AN53" s="52">
        <v>21</v>
      </c>
      <c r="AO53" s="52">
        <f t="shared" si="14"/>
        <v>0</v>
      </c>
      <c r="AP53" s="52">
        <f t="shared" si="15"/>
        <v>0</v>
      </c>
      <c r="AQ53" s="54" t="s">
        <v>114</v>
      </c>
      <c r="AV53" s="52">
        <f t="shared" si="16"/>
        <v>0</v>
      </c>
      <c r="AW53" s="52">
        <f t="shared" si="17"/>
        <v>0</v>
      </c>
      <c r="AX53" s="52">
        <f t="shared" si="18"/>
        <v>0</v>
      </c>
      <c r="AY53" s="54" t="s">
        <v>176</v>
      </c>
      <c r="AZ53" s="54" t="s">
        <v>177</v>
      </c>
      <c r="BA53" s="34" t="s">
        <v>178</v>
      </c>
      <c r="BC53" s="52">
        <f t="shared" si="19"/>
        <v>0</v>
      </c>
      <c r="BD53" s="52">
        <f t="shared" si="20"/>
        <v>0</v>
      </c>
      <c r="BE53" s="52">
        <v>0</v>
      </c>
      <c r="BF53" s="52">
        <f>53</f>
        <v>53</v>
      </c>
      <c r="BH53" s="52">
        <f t="shared" si="21"/>
        <v>0</v>
      </c>
      <c r="BI53" s="52">
        <f t="shared" si="22"/>
        <v>0</v>
      </c>
      <c r="BJ53" s="52">
        <f t="shared" si="23"/>
        <v>0</v>
      </c>
      <c r="BK53" s="52"/>
      <c r="BL53" s="52"/>
      <c r="BW53" s="52">
        <v>21</v>
      </c>
      <c r="BX53" s="3" t="s">
        <v>191</v>
      </c>
    </row>
    <row r="54" spans="1:76" x14ac:dyDescent="0.25">
      <c r="A54" s="57" t="s">
        <v>4</v>
      </c>
      <c r="B54" s="58" t="s">
        <v>4</v>
      </c>
      <c r="C54" s="141" t="s">
        <v>192</v>
      </c>
      <c r="D54" s="142"/>
      <c r="E54" s="59" t="s">
        <v>73</v>
      </c>
      <c r="F54" s="59" t="s">
        <v>73</v>
      </c>
      <c r="G54" s="59" t="s">
        <v>73</v>
      </c>
      <c r="H54" s="60">
        <f>H55+H57+H71+H73</f>
        <v>0</v>
      </c>
      <c r="I54" s="60">
        <f>I55+I57+I71+I73</f>
        <v>0</v>
      </c>
      <c r="J54" s="60">
        <f>J55+J57+J71+J73</f>
        <v>0</v>
      </c>
      <c r="K54" s="61" t="s">
        <v>4</v>
      </c>
    </row>
    <row r="55" spans="1:76" x14ac:dyDescent="0.25">
      <c r="A55" s="48" t="s">
        <v>4</v>
      </c>
      <c r="B55" s="49" t="s">
        <v>193</v>
      </c>
      <c r="C55" s="143" t="s">
        <v>194</v>
      </c>
      <c r="D55" s="144"/>
      <c r="E55" s="50" t="s">
        <v>73</v>
      </c>
      <c r="F55" s="50" t="s">
        <v>73</v>
      </c>
      <c r="G55" s="50" t="s">
        <v>73</v>
      </c>
      <c r="H55" s="28">
        <f>SUM(H56:H56)</f>
        <v>0</v>
      </c>
      <c r="I55" s="28">
        <f>SUM(I56:I56)</f>
        <v>0</v>
      </c>
      <c r="J55" s="28">
        <f>SUM(J56:J56)</f>
        <v>0</v>
      </c>
      <c r="K55" s="51" t="s">
        <v>4</v>
      </c>
      <c r="AI55" s="34" t="s">
        <v>195</v>
      </c>
      <c r="AS55" s="28">
        <f>SUM(AJ56:AJ56)</f>
        <v>0</v>
      </c>
      <c r="AT55" s="28">
        <f>SUM(AK56:AK56)</f>
        <v>0</v>
      </c>
      <c r="AU55" s="28">
        <f>SUM(AL56:AL56)</f>
        <v>0</v>
      </c>
    </row>
    <row r="56" spans="1:76" x14ac:dyDescent="0.25">
      <c r="A56" s="1" t="s">
        <v>196</v>
      </c>
      <c r="B56" s="2" t="s">
        <v>197</v>
      </c>
      <c r="C56" s="66" t="s">
        <v>198</v>
      </c>
      <c r="D56" s="67"/>
      <c r="E56" s="2" t="s">
        <v>199</v>
      </c>
      <c r="F56" s="52">
        <v>529</v>
      </c>
      <c r="G56" s="52">
        <v>0</v>
      </c>
      <c r="H56" s="52">
        <f>F56*AO56</f>
        <v>0</v>
      </c>
      <c r="I56" s="52">
        <f>F56*AP56</f>
        <v>0</v>
      </c>
      <c r="J56" s="52">
        <f>F56*G56</f>
        <v>0</v>
      </c>
      <c r="K56" s="53" t="s">
        <v>4</v>
      </c>
      <c r="Z56" s="52">
        <f>IF(AQ56="5",BJ56,0)</f>
        <v>0</v>
      </c>
      <c r="AB56" s="52">
        <f>IF(AQ56="1",BH56,0)</f>
        <v>0</v>
      </c>
      <c r="AC56" s="52">
        <f>IF(AQ56="1",BI56,0)</f>
        <v>0</v>
      </c>
      <c r="AD56" s="52">
        <f>IF(AQ56="7",BH56,0)</f>
        <v>0</v>
      </c>
      <c r="AE56" s="52">
        <f>IF(AQ56="7",BI56,0)</f>
        <v>0</v>
      </c>
      <c r="AF56" s="52">
        <f>IF(AQ56="2",BH56,0)</f>
        <v>0</v>
      </c>
      <c r="AG56" s="52">
        <f>IF(AQ56="2",BI56,0)</f>
        <v>0</v>
      </c>
      <c r="AH56" s="52">
        <f>IF(AQ56="0",BJ56,0)</f>
        <v>0</v>
      </c>
      <c r="AI56" s="34" t="s">
        <v>195</v>
      </c>
      <c r="AJ56" s="52">
        <f>IF(AN56=0,J56,0)</f>
        <v>0</v>
      </c>
      <c r="AK56" s="52">
        <f>IF(AN56=12,J56,0)</f>
        <v>0</v>
      </c>
      <c r="AL56" s="52">
        <f>IF(AN56=21,J56,0)</f>
        <v>0</v>
      </c>
      <c r="AN56" s="52">
        <v>21</v>
      </c>
      <c r="AO56" s="52">
        <f>G56*0</f>
        <v>0</v>
      </c>
      <c r="AP56" s="52">
        <f>G56*(1-0)</f>
        <v>0</v>
      </c>
      <c r="AQ56" s="54" t="s">
        <v>114</v>
      </c>
      <c r="AV56" s="52">
        <f>AW56+AX56</f>
        <v>0</v>
      </c>
      <c r="AW56" s="52">
        <f>F56*AO56</f>
        <v>0</v>
      </c>
      <c r="AX56" s="52">
        <f>F56*AP56</f>
        <v>0</v>
      </c>
      <c r="AY56" s="54" t="s">
        <v>200</v>
      </c>
      <c r="AZ56" s="54" t="s">
        <v>201</v>
      </c>
      <c r="BA56" s="34" t="s">
        <v>202</v>
      </c>
      <c r="BC56" s="52">
        <f>AW56+AX56</f>
        <v>0</v>
      </c>
      <c r="BD56" s="52">
        <f>G56/(100-BE56)*100</f>
        <v>0</v>
      </c>
      <c r="BE56" s="52">
        <v>0</v>
      </c>
      <c r="BF56" s="52">
        <f>56</f>
        <v>56</v>
      </c>
      <c r="BH56" s="52">
        <f>F56*AO56</f>
        <v>0</v>
      </c>
      <c r="BI56" s="52">
        <f>F56*AP56</f>
        <v>0</v>
      </c>
      <c r="BJ56" s="52">
        <f>F56*G56</f>
        <v>0</v>
      </c>
      <c r="BK56" s="52"/>
      <c r="BL56" s="52">
        <v>111</v>
      </c>
      <c r="BW56" s="52">
        <v>21</v>
      </c>
      <c r="BX56" s="3" t="s">
        <v>198</v>
      </c>
    </row>
    <row r="57" spans="1:76" x14ac:dyDescent="0.25">
      <c r="A57" s="48" t="s">
        <v>4</v>
      </c>
      <c r="B57" s="49" t="s">
        <v>182</v>
      </c>
      <c r="C57" s="143" t="s">
        <v>203</v>
      </c>
      <c r="D57" s="144"/>
      <c r="E57" s="50" t="s">
        <v>73</v>
      </c>
      <c r="F57" s="50" t="s">
        <v>73</v>
      </c>
      <c r="G57" s="50" t="s">
        <v>73</v>
      </c>
      <c r="H57" s="28">
        <f>SUM(H58:H70)</f>
        <v>0</v>
      </c>
      <c r="I57" s="28">
        <f>SUM(I58:I70)</f>
        <v>0</v>
      </c>
      <c r="J57" s="28">
        <f>SUM(J58:J70)</f>
        <v>0</v>
      </c>
      <c r="K57" s="51" t="s">
        <v>4</v>
      </c>
      <c r="AI57" s="34" t="s">
        <v>195</v>
      </c>
      <c r="AS57" s="28">
        <f>SUM(AJ58:AJ70)</f>
        <v>0</v>
      </c>
      <c r="AT57" s="28">
        <f>SUM(AK58:AK70)</f>
        <v>0</v>
      </c>
      <c r="AU57" s="28">
        <f>SUM(AL58:AL70)</f>
        <v>0</v>
      </c>
    </row>
    <row r="58" spans="1:76" x14ac:dyDescent="0.25">
      <c r="A58" s="1" t="s">
        <v>204</v>
      </c>
      <c r="B58" s="2" t="s">
        <v>205</v>
      </c>
      <c r="C58" s="66" t="s">
        <v>206</v>
      </c>
      <c r="D58" s="67"/>
      <c r="E58" s="2" t="s">
        <v>138</v>
      </c>
      <c r="F58" s="52">
        <v>86</v>
      </c>
      <c r="G58" s="52">
        <v>0</v>
      </c>
      <c r="H58" s="52">
        <f t="shared" ref="H58:H70" si="24">F58*AO58</f>
        <v>0</v>
      </c>
      <c r="I58" s="52">
        <f t="shared" ref="I58:I70" si="25">F58*AP58</f>
        <v>0</v>
      </c>
      <c r="J58" s="52">
        <f t="shared" ref="J58:J70" si="26">F58*G58</f>
        <v>0</v>
      </c>
      <c r="K58" s="53" t="s">
        <v>125</v>
      </c>
      <c r="Z58" s="52">
        <f t="shared" ref="Z58:Z70" si="27">IF(AQ58="5",BJ58,0)</f>
        <v>0</v>
      </c>
      <c r="AB58" s="52">
        <f t="shared" ref="AB58:AB70" si="28">IF(AQ58="1",BH58,0)</f>
        <v>0</v>
      </c>
      <c r="AC58" s="52">
        <f t="shared" ref="AC58:AC70" si="29">IF(AQ58="1",BI58,0)</f>
        <v>0</v>
      </c>
      <c r="AD58" s="52">
        <f t="shared" ref="AD58:AD70" si="30">IF(AQ58="7",BH58,0)</f>
        <v>0</v>
      </c>
      <c r="AE58" s="52">
        <f t="shared" ref="AE58:AE70" si="31">IF(AQ58="7",BI58,0)</f>
        <v>0</v>
      </c>
      <c r="AF58" s="52">
        <f t="shared" ref="AF58:AF70" si="32">IF(AQ58="2",BH58,0)</f>
        <v>0</v>
      </c>
      <c r="AG58" s="52">
        <f t="shared" ref="AG58:AG70" si="33">IF(AQ58="2",BI58,0)</f>
        <v>0</v>
      </c>
      <c r="AH58" s="52">
        <f t="shared" ref="AH58:AH70" si="34">IF(AQ58="0",BJ58,0)</f>
        <v>0</v>
      </c>
      <c r="AI58" s="34" t="s">
        <v>195</v>
      </c>
      <c r="AJ58" s="52">
        <f t="shared" ref="AJ58:AJ70" si="35">IF(AN58=0,J58,0)</f>
        <v>0</v>
      </c>
      <c r="AK58" s="52">
        <f t="shared" ref="AK58:AK70" si="36">IF(AN58=12,J58,0)</f>
        <v>0</v>
      </c>
      <c r="AL58" s="52">
        <f t="shared" ref="AL58:AL70" si="37">IF(AN58=21,J58,0)</f>
        <v>0</v>
      </c>
      <c r="AN58" s="52">
        <v>21</v>
      </c>
      <c r="AO58" s="52">
        <f>G58*0</f>
        <v>0</v>
      </c>
      <c r="AP58" s="52">
        <f>G58*(1-0)</f>
        <v>0</v>
      </c>
      <c r="AQ58" s="54" t="s">
        <v>114</v>
      </c>
      <c r="AV58" s="52">
        <f t="shared" ref="AV58:AV70" si="38">AW58+AX58</f>
        <v>0</v>
      </c>
      <c r="AW58" s="52">
        <f t="shared" ref="AW58:AW70" si="39">F58*AO58</f>
        <v>0</v>
      </c>
      <c r="AX58" s="52">
        <f t="shared" ref="AX58:AX70" si="40">F58*AP58</f>
        <v>0</v>
      </c>
      <c r="AY58" s="54" t="s">
        <v>207</v>
      </c>
      <c r="AZ58" s="54" t="s">
        <v>201</v>
      </c>
      <c r="BA58" s="34" t="s">
        <v>202</v>
      </c>
      <c r="BC58" s="52">
        <f t="shared" ref="BC58:BC70" si="41">AW58+AX58</f>
        <v>0</v>
      </c>
      <c r="BD58" s="52">
        <f t="shared" ref="BD58:BD70" si="42">G58/(100-BE58)*100</f>
        <v>0</v>
      </c>
      <c r="BE58" s="52">
        <v>0</v>
      </c>
      <c r="BF58" s="52">
        <f>58</f>
        <v>58</v>
      </c>
      <c r="BH58" s="52">
        <f t="shared" ref="BH58:BH70" si="43">F58*AO58</f>
        <v>0</v>
      </c>
      <c r="BI58" s="52">
        <f t="shared" ref="BI58:BI70" si="44">F58*AP58</f>
        <v>0</v>
      </c>
      <c r="BJ58" s="52">
        <f t="shared" ref="BJ58:BJ70" si="45">F58*G58</f>
        <v>0</v>
      </c>
      <c r="BK58" s="52"/>
      <c r="BL58" s="52">
        <v>18</v>
      </c>
      <c r="BW58" s="52">
        <v>21</v>
      </c>
      <c r="BX58" s="3" t="s">
        <v>206</v>
      </c>
    </row>
    <row r="59" spans="1:76" x14ac:dyDescent="0.25">
      <c r="A59" s="1" t="s">
        <v>208</v>
      </c>
      <c r="B59" s="2" t="s">
        <v>205</v>
      </c>
      <c r="C59" s="66" t="s">
        <v>209</v>
      </c>
      <c r="D59" s="67"/>
      <c r="E59" s="2" t="s">
        <v>138</v>
      </c>
      <c r="F59" s="52">
        <v>312</v>
      </c>
      <c r="G59" s="52">
        <v>0</v>
      </c>
      <c r="H59" s="52">
        <f t="shared" si="24"/>
        <v>0</v>
      </c>
      <c r="I59" s="52">
        <f t="shared" si="25"/>
        <v>0</v>
      </c>
      <c r="J59" s="52">
        <f t="shared" si="26"/>
        <v>0</v>
      </c>
      <c r="K59" s="53" t="s">
        <v>125</v>
      </c>
      <c r="Z59" s="52">
        <f t="shared" si="27"/>
        <v>0</v>
      </c>
      <c r="AB59" s="52">
        <f t="shared" si="28"/>
        <v>0</v>
      </c>
      <c r="AC59" s="52">
        <f t="shared" si="29"/>
        <v>0</v>
      </c>
      <c r="AD59" s="52">
        <f t="shared" si="30"/>
        <v>0</v>
      </c>
      <c r="AE59" s="52">
        <f t="shared" si="31"/>
        <v>0</v>
      </c>
      <c r="AF59" s="52">
        <f t="shared" si="32"/>
        <v>0</v>
      </c>
      <c r="AG59" s="52">
        <f t="shared" si="33"/>
        <v>0</v>
      </c>
      <c r="AH59" s="52">
        <f t="shared" si="34"/>
        <v>0</v>
      </c>
      <c r="AI59" s="34" t="s">
        <v>195</v>
      </c>
      <c r="AJ59" s="52">
        <f t="shared" si="35"/>
        <v>0</v>
      </c>
      <c r="AK59" s="52">
        <f t="shared" si="36"/>
        <v>0</v>
      </c>
      <c r="AL59" s="52">
        <f t="shared" si="37"/>
        <v>0</v>
      </c>
      <c r="AN59" s="52">
        <v>21</v>
      </c>
      <c r="AO59" s="52">
        <f>G59*0</f>
        <v>0</v>
      </c>
      <c r="AP59" s="52">
        <f>G59*(1-0)</f>
        <v>0</v>
      </c>
      <c r="AQ59" s="54" t="s">
        <v>114</v>
      </c>
      <c r="AV59" s="52">
        <f t="shared" si="38"/>
        <v>0</v>
      </c>
      <c r="AW59" s="52">
        <f t="shared" si="39"/>
        <v>0</v>
      </c>
      <c r="AX59" s="52">
        <f t="shared" si="40"/>
        <v>0</v>
      </c>
      <c r="AY59" s="54" t="s">
        <v>207</v>
      </c>
      <c r="AZ59" s="54" t="s">
        <v>201</v>
      </c>
      <c r="BA59" s="34" t="s">
        <v>202</v>
      </c>
      <c r="BC59" s="52">
        <f t="shared" si="41"/>
        <v>0</v>
      </c>
      <c r="BD59" s="52">
        <f t="shared" si="42"/>
        <v>0</v>
      </c>
      <c r="BE59" s="52">
        <v>0</v>
      </c>
      <c r="BF59" s="52">
        <f>59</f>
        <v>59</v>
      </c>
      <c r="BH59" s="52">
        <f t="shared" si="43"/>
        <v>0</v>
      </c>
      <c r="BI59" s="52">
        <f t="shared" si="44"/>
        <v>0</v>
      </c>
      <c r="BJ59" s="52">
        <f t="shared" si="45"/>
        <v>0</v>
      </c>
      <c r="BK59" s="52"/>
      <c r="BL59" s="52">
        <v>18</v>
      </c>
      <c r="BW59" s="52">
        <v>21</v>
      </c>
      <c r="BX59" s="3" t="s">
        <v>209</v>
      </c>
    </row>
    <row r="60" spans="1:76" x14ac:dyDescent="0.25">
      <c r="A60" s="1" t="s">
        <v>210</v>
      </c>
      <c r="B60" s="2" t="s">
        <v>211</v>
      </c>
      <c r="C60" s="66" t="s">
        <v>212</v>
      </c>
      <c r="D60" s="67"/>
      <c r="E60" s="2" t="s">
        <v>138</v>
      </c>
      <c r="F60" s="52">
        <v>52</v>
      </c>
      <c r="G60" s="52">
        <v>0</v>
      </c>
      <c r="H60" s="52">
        <f t="shared" si="24"/>
        <v>0</v>
      </c>
      <c r="I60" s="52">
        <f t="shared" si="25"/>
        <v>0</v>
      </c>
      <c r="J60" s="52">
        <f t="shared" si="26"/>
        <v>0</v>
      </c>
      <c r="K60" s="53" t="s">
        <v>125</v>
      </c>
      <c r="Z60" s="52">
        <f t="shared" si="27"/>
        <v>0</v>
      </c>
      <c r="AB60" s="52">
        <f t="shared" si="28"/>
        <v>0</v>
      </c>
      <c r="AC60" s="52">
        <f t="shared" si="29"/>
        <v>0</v>
      </c>
      <c r="AD60" s="52">
        <f t="shared" si="30"/>
        <v>0</v>
      </c>
      <c r="AE60" s="52">
        <f t="shared" si="31"/>
        <v>0</v>
      </c>
      <c r="AF60" s="52">
        <f t="shared" si="32"/>
        <v>0</v>
      </c>
      <c r="AG60" s="52">
        <f t="shared" si="33"/>
        <v>0</v>
      </c>
      <c r="AH60" s="52">
        <f t="shared" si="34"/>
        <v>0</v>
      </c>
      <c r="AI60" s="34" t="s">
        <v>195</v>
      </c>
      <c r="AJ60" s="52">
        <f t="shared" si="35"/>
        <v>0</v>
      </c>
      <c r="AK60" s="52">
        <f t="shared" si="36"/>
        <v>0</v>
      </c>
      <c r="AL60" s="52">
        <f t="shared" si="37"/>
        <v>0</v>
      </c>
      <c r="AN60" s="52">
        <v>21</v>
      </c>
      <c r="AO60" s="52">
        <f>G60*0</f>
        <v>0</v>
      </c>
      <c r="AP60" s="52">
        <f>G60*(1-0)</f>
        <v>0</v>
      </c>
      <c r="AQ60" s="54" t="s">
        <v>114</v>
      </c>
      <c r="AV60" s="52">
        <f t="shared" si="38"/>
        <v>0</v>
      </c>
      <c r="AW60" s="52">
        <f t="shared" si="39"/>
        <v>0</v>
      </c>
      <c r="AX60" s="52">
        <f t="shared" si="40"/>
        <v>0</v>
      </c>
      <c r="AY60" s="54" t="s">
        <v>207</v>
      </c>
      <c r="AZ60" s="54" t="s">
        <v>201</v>
      </c>
      <c r="BA60" s="34" t="s">
        <v>202</v>
      </c>
      <c r="BC60" s="52">
        <f t="shared" si="41"/>
        <v>0</v>
      </c>
      <c r="BD60" s="52">
        <f t="shared" si="42"/>
        <v>0</v>
      </c>
      <c r="BE60" s="52">
        <v>0</v>
      </c>
      <c r="BF60" s="52">
        <f>60</f>
        <v>60</v>
      </c>
      <c r="BH60" s="52">
        <f t="shared" si="43"/>
        <v>0</v>
      </c>
      <c r="BI60" s="52">
        <f t="shared" si="44"/>
        <v>0</v>
      </c>
      <c r="BJ60" s="52">
        <f t="shared" si="45"/>
        <v>0</v>
      </c>
      <c r="BK60" s="52"/>
      <c r="BL60" s="52">
        <v>18</v>
      </c>
      <c r="BW60" s="52">
        <v>21</v>
      </c>
      <c r="BX60" s="3" t="s">
        <v>212</v>
      </c>
    </row>
    <row r="61" spans="1:76" x14ac:dyDescent="0.25">
      <c r="A61" s="1" t="s">
        <v>213</v>
      </c>
      <c r="B61" s="2" t="s">
        <v>214</v>
      </c>
      <c r="C61" s="66" t="s">
        <v>215</v>
      </c>
      <c r="D61" s="67"/>
      <c r="E61" s="2" t="s">
        <v>138</v>
      </c>
      <c r="F61" s="52">
        <v>79</v>
      </c>
      <c r="G61" s="52">
        <v>0</v>
      </c>
      <c r="H61" s="52">
        <f t="shared" si="24"/>
        <v>0</v>
      </c>
      <c r="I61" s="52">
        <f t="shared" si="25"/>
        <v>0</v>
      </c>
      <c r="J61" s="52">
        <f t="shared" si="26"/>
        <v>0</v>
      </c>
      <c r="K61" s="53" t="s">
        <v>125</v>
      </c>
      <c r="Z61" s="52">
        <f t="shared" si="27"/>
        <v>0</v>
      </c>
      <c r="AB61" s="52">
        <f t="shared" si="28"/>
        <v>0</v>
      </c>
      <c r="AC61" s="52">
        <f t="shared" si="29"/>
        <v>0</v>
      </c>
      <c r="AD61" s="52">
        <f t="shared" si="30"/>
        <v>0</v>
      </c>
      <c r="AE61" s="52">
        <f t="shared" si="31"/>
        <v>0</v>
      </c>
      <c r="AF61" s="52">
        <f t="shared" si="32"/>
        <v>0</v>
      </c>
      <c r="AG61" s="52">
        <f t="shared" si="33"/>
        <v>0</v>
      </c>
      <c r="AH61" s="52">
        <f t="shared" si="34"/>
        <v>0</v>
      </c>
      <c r="AI61" s="34" t="s">
        <v>195</v>
      </c>
      <c r="AJ61" s="52">
        <f t="shared" si="35"/>
        <v>0</v>
      </c>
      <c r="AK61" s="52">
        <f t="shared" si="36"/>
        <v>0</v>
      </c>
      <c r="AL61" s="52">
        <f t="shared" si="37"/>
        <v>0</v>
      </c>
      <c r="AN61" s="52">
        <v>21</v>
      </c>
      <c r="AO61" s="52">
        <f>G61*0</f>
        <v>0</v>
      </c>
      <c r="AP61" s="52">
        <f>G61*(1-0)</f>
        <v>0</v>
      </c>
      <c r="AQ61" s="54" t="s">
        <v>114</v>
      </c>
      <c r="AV61" s="52">
        <f t="shared" si="38"/>
        <v>0</v>
      </c>
      <c r="AW61" s="52">
        <f t="shared" si="39"/>
        <v>0</v>
      </c>
      <c r="AX61" s="52">
        <f t="shared" si="40"/>
        <v>0</v>
      </c>
      <c r="AY61" s="54" t="s">
        <v>207</v>
      </c>
      <c r="AZ61" s="54" t="s">
        <v>201</v>
      </c>
      <c r="BA61" s="34" t="s">
        <v>202</v>
      </c>
      <c r="BC61" s="52">
        <f t="shared" si="41"/>
        <v>0</v>
      </c>
      <c r="BD61" s="52">
        <f t="shared" si="42"/>
        <v>0</v>
      </c>
      <c r="BE61" s="52">
        <v>0</v>
      </c>
      <c r="BF61" s="52">
        <f>61</f>
        <v>61</v>
      </c>
      <c r="BH61" s="52">
        <f t="shared" si="43"/>
        <v>0</v>
      </c>
      <c r="BI61" s="52">
        <f t="shared" si="44"/>
        <v>0</v>
      </c>
      <c r="BJ61" s="52">
        <f t="shared" si="45"/>
        <v>0</v>
      </c>
      <c r="BK61" s="52"/>
      <c r="BL61" s="52">
        <v>18</v>
      </c>
      <c r="BW61" s="52">
        <v>21</v>
      </c>
      <c r="BX61" s="3" t="s">
        <v>215</v>
      </c>
    </row>
    <row r="62" spans="1:76" ht="25.5" x14ac:dyDescent="0.25">
      <c r="A62" s="1" t="s">
        <v>216</v>
      </c>
      <c r="B62" s="2" t="s">
        <v>217</v>
      </c>
      <c r="C62" s="66" t="s">
        <v>218</v>
      </c>
      <c r="D62" s="67"/>
      <c r="E62" s="2" t="s">
        <v>138</v>
      </c>
      <c r="F62" s="52">
        <v>86</v>
      </c>
      <c r="G62" s="52">
        <v>0</v>
      </c>
      <c r="H62" s="52">
        <f t="shared" si="24"/>
        <v>0</v>
      </c>
      <c r="I62" s="52">
        <f t="shared" si="25"/>
        <v>0</v>
      </c>
      <c r="J62" s="52">
        <f t="shared" si="26"/>
        <v>0</v>
      </c>
      <c r="K62" s="53" t="s">
        <v>125</v>
      </c>
      <c r="Z62" s="52">
        <f t="shared" si="27"/>
        <v>0</v>
      </c>
      <c r="AB62" s="52">
        <f t="shared" si="28"/>
        <v>0</v>
      </c>
      <c r="AC62" s="52">
        <f t="shared" si="29"/>
        <v>0</v>
      </c>
      <c r="AD62" s="52">
        <f t="shared" si="30"/>
        <v>0</v>
      </c>
      <c r="AE62" s="52">
        <f t="shared" si="31"/>
        <v>0</v>
      </c>
      <c r="AF62" s="52">
        <f t="shared" si="32"/>
        <v>0</v>
      </c>
      <c r="AG62" s="52">
        <f t="shared" si="33"/>
        <v>0</v>
      </c>
      <c r="AH62" s="52">
        <f t="shared" si="34"/>
        <v>0</v>
      </c>
      <c r="AI62" s="34" t="s">
        <v>195</v>
      </c>
      <c r="AJ62" s="52">
        <f t="shared" si="35"/>
        <v>0</v>
      </c>
      <c r="AK62" s="52">
        <f t="shared" si="36"/>
        <v>0</v>
      </c>
      <c r="AL62" s="52">
        <f t="shared" si="37"/>
        <v>0</v>
      </c>
      <c r="AN62" s="52">
        <v>21</v>
      </c>
      <c r="AO62" s="52">
        <f>G62*0.009003021</f>
        <v>0</v>
      </c>
      <c r="AP62" s="52">
        <f>G62*(1-0.009003021)</f>
        <v>0</v>
      </c>
      <c r="AQ62" s="54" t="s">
        <v>114</v>
      </c>
      <c r="AV62" s="52">
        <f t="shared" si="38"/>
        <v>0</v>
      </c>
      <c r="AW62" s="52">
        <f t="shared" si="39"/>
        <v>0</v>
      </c>
      <c r="AX62" s="52">
        <f t="shared" si="40"/>
        <v>0</v>
      </c>
      <c r="AY62" s="54" t="s">
        <v>207</v>
      </c>
      <c r="AZ62" s="54" t="s">
        <v>201</v>
      </c>
      <c r="BA62" s="34" t="s">
        <v>202</v>
      </c>
      <c r="BC62" s="52">
        <f t="shared" si="41"/>
        <v>0</v>
      </c>
      <c r="BD62" s="52">
        <f t="shared" si="42"/>
        <v>0</v>
      </c>
      <c r="BE62" s="52">
        <v>0</v>
      </c>
      <c r="BF62" s="52">
        <f>62</f>
        <v>62</v>
      </c>
      <c r="BH62" s="52">
        <f t="shared" si="43"/>
        <v>0</v>
      </c>
      <c r="BI62" s="52">
        <f t="shared" si="44"/>
        <v>0</v>
      </c>
      <c r="BJ62" s="52">
        <f t="shared" si="45"/>
        <v>0</v>
      </c>
      <c r="BK62" s="52"/>
      <c r="BL62" s="52">
        <v>18</v>
      </c>
      <c r="BW62" s="52">
        <v>21</v>
      </c>
      <c r="BX62" s="3" t="s">
        <v>218</v>
      </c>
    </row>
    <row r="63" spans="1:76" x14ac:dyDescent="0.25">
      <c r="A63" s="1" t="s">
        <v>219</v>
      </c>
      <c r="B63" s="2" t="s">
        <v>220</v>
      </c>
      <c r="C63" s="66" t="s">
        <v>221</v>
      </c>
      <c r="D63" s="67"/>
      <c r="E63" s="2" t="s">
        <v>138</v>
      </c>
      <c r="F63" s="52">
        <v>364</v>
      </c>
      <c r="G63" s="52">
        <v>0</v>
      </c>
      <c r="H63" s="52">
        <f t="shared" si="24"/>
        <v>0</v>
      </c>
      <c r="I63" s="52">
        <f t="shared" si="25"/>
        <v>0</v>
      </c>
      <c r="J63" s="52">
        <f t="shared" si="26"/>
        <v>0</v>
      </c>
      <c r="K63" s="53" t="s">
        <v>125</v>
      </c>
      <c r="Z63" s="52">
        <f t="shared" si="27"/>
        <v>0</v>
      </c>
      <c r="AB63" s="52">
        <f t="shared" si="28"/>
        <v>0</v>
      </c>
      <c r="AC63" s="52">
        <f t="shared" si="29"/>
        <v>0</v>
      </c>
      <c r="AD63" s="52">
        <f t="shared" si="30"/>
        <v>0</v>
      </c>
      <c r="AE63" s="52">
        <f t="shared" si="31"/>
        <v>0</v>
      </c>
      <c r="AF63" s="52">
        <f t="shared" si="32"/>
        <v>0</v>
      </c>
      <c r="AG63" s="52">
        <f t="shared" si="33"/>
        <v>0</v>
      </c>
      <c r="AH63" s="52">
        <f t="shared" si="34"/>
        <v>0</v>
      </c>
      <c r="AI63" s="34" t="s">
        <v>195</v>
      </c>
      <c r="AJ63" s="52">
        <f t="shared" si="35"/>
        <v>0</v>
      </c>
      <c r="AK63" s="52">
        <f t="shared" si="36"/>
        <v>0</v>
      </c>
      <c r="AL63" s="52">
        <f t="shared" si="37"/>
        <v>0</v>
      </c>
      <c r="AN63" s="52">
        <v>21</v>
      </c>
      <c r="AO63" s="52">
        <f>G63*0.007821522</f>
        <v>0</v>
      </c>
      <c r="AP63" s="52">
        <f>G63*(1-0.007821522)</f>
        <v>0</v>
      </c>
      <c r="AQ63" s="54" t="s">
        <v>114</v>
      </c>
      <c r="AV63" s="52">
        <f t="shared" si="38"/>
        <v>0</v>
      </c>
      <c r="AW63" s="52">
        <f t="shared" si="39"/>
        <v>0</v>
      </c>
      <c r="AX63" s="52">
        <f t="shared" si="40"/>
        <v>0</v>
      </c>
      <c r="AY63" s="54" t="s">
        <v>207</v>
      </c>
      <c r="AZ63" s="54" t="s">
        <v>201</v>
      </c>
      <c r="BA63" s="34" t="s">
        <v>202</v>
      </c>
      <c r="BC63" s="52">
        <f t="shared" si="41"/>
        <v>0</v>
      </c>
      <c r="BD63" s="52">
        <f t="shared" si="42"/>
        <v>0</v>
      </c>
      <c r="BE63" s="52">
        <v>0</v>
      </c>
      <c r="BF63" s="52">
        <f>63</f>
        <v>63</v>
      </c>
      <c r="BH63" s="52">
        <f t="shared" si="43"/>
        <v>0</v>
      </c>
      <c r="BI63" s="52">
        <f t="shared" si="44"/>
        <v>0</v>
      </c>
      <c r="BJ63" s="52">
        <f t="shared" si="45"/>
        <v>0</v>
      </c>
      <c r="BK63" s="52"/>
      <c r="BL63" s="52">
        <v>18</v>
      </c>
      <c r="BW63" s="52">
        <v>21</v>
      </c>
      <c r="BX63" s="3" t="s">
        <v>221</v>
      </c>
    </row>
    <row r="64" spans="1:76" x14ac:dyDescent="0.25">
      <c r="A64" s="1" t="s">
        <v>222</v>
      </c>
      <c r="B64" s="2" t="s">
        <v>223</v>
      </c>
      <c r="C64" s="66" t="s">
        <v>224</v>
      </c>
      <c r="D64" s="67"/>
      <c r="E64" s="2" t="s">
        <v>138</v>
      </c>
      <c r="F64" s="52">
        <v>79</v>
      </c>
      <c r="G64" s="52">
        <v>0</v>
      </c>
      <c r="H64" s="52">
        <f t="shared" si="24"/>
        <v>0</v>
      </c>
      <c r="I64" s="52">
        <f t="shared" si="25"/>
        <v>0</v>
      </c>
      <c r="J64" s="52">
        <f t="shared" si="26"/>
        <v>0</v>
      </c>
      <c r="K64" s="53" t="s">
        <v>125</v>
      </c>
      <c r="Z64" s="52">
        <f t="shared" si="27"/>
        <v>0</v>
      </c>
      <c r="AB64" s="52">
        <f t="shared" si="28"/>
        <v>0</v>
      </c>
      <c r="AC64" s="52">
        <f t="shared" si="29"/>
        <v>0</v>
      </c>
      <c r="AD64" s="52">
        <f t="shared" si="30"/>
        <v>0</v>
      </c>
      <c r="AE64" s="52">
        <f t="shared" si="31"/>
        <v>0</v>
      </c>
      <c r="AF64" s="52">
        <f t="shared" si="32"/>
        <v>0</v>
      </c>
      <c r="AG64" s="52">
        <f t="shared" si="33"/>
        <v>0</v>
      </c>
      <c r="AH64" s="52">
        <f t="shared" si="34"/>
        <v>0</v>
      </c>
      <c r="AI64" s="34" t="s">
        <v>195</v>
      </c>
      <c r="AJ64" s="52">
        <f t="shared" si="35"/>
        <v>0</v>
      </c>
      <c r="AK64" s="52">
        <f t="shared" si="36"/>
        <v>0</v>
      </c>
      <c r="AL64" s="52">
        <f t="shared" si="37"/>
        <v>0</v>
      </c>
      <c r="AN64" s="52">
        <v>21</v>
      </c>
      <c r="AO64" s="52">
        <f>G64*0.006211613</f>
        <v>0</v>
      </c>
      <c r="AP64" s="52">
        <f>G64*(1-0.006211613)</f>
        <v>0</v>
      </c>
      <c r="AQ64" s="54" t="s">
        <v>114</v>
      </c>
      <c r="AV64" s="52">
        <f t="shared" si="38"/>
        <v>0</v>
      </c>
      <c r="AW64" s="52">
        <f t="shared" si="39"/>
        <v>0</v>
      </c>
      <c r="AX64" s="52">
        <f t="shared" si="40"/>
        <v>0</v>
      </c>
      <c r="AY64" s="54" t="s">
        <v>207</v>
      </c>
      <c r="AZ64" s="54" t="s">
        <v>201</v>
      </c>
      <c r="BA64" s="34" t="s">
        <v>202</v>
      </c>
      <c r="BC64" s="52">
        <f t="shared" si="41"/>
        <v>0</v>
      </c>
      <c r="BD64" s="52">
        <f t="shared" si="42"/>
        <v>0</v>
      </c>
      <c r="BE64" s="52">
        <v>0</v>
      </c>
      <c r="BF64" s="52">
        <f>64</f>
        <v>64</v>
      </c>
      <c r="BH64" s="52">
        <f t="shared" si="43"/>
        <v>0</v>
      </c>
      <c r="BI64" s="52">
        <f t="shared" si="44"/>
        <v>0</v>
      </c>
      <c r="BJ64" s="52">
        <f t="shared" si="45"/>
        <v>0</v>
      </c>
      <c r="BK64" s="52"/>
      <c r="BL64" s="52">
        <v>18</v>
      </c>
      <c r="BW64" s="52">
        <v>21</v>
      </c>
      <c r="BX64" s="3" t="s">
        <v>224</v>
      </c>
    </row>
    <row r="65" spans="1:76" x14ac:dyDescent="0.25">
      <c r="A65" s="1" t="s">
        <v>225</v>
      </c>
      <c r="B65" s="2" t="s">
        <v>226</v>
      </c>
      <c r="C65" s="66" t="s">
        <v>227</v>
      </c>
      <c r="D65" s="67"/>
      <c r="E65" s="2" t="s">
        <v>138</v>
      </c>
      <c r="F65" s="52">
        <v>529</v>
      </c>
      <c r="G65" s="52">
        <v>0</v>
      </c>
      <c r="H65" s="52">
        <f t="shared" si="24"/>
        <v>0</v>
      </c>
      <c r="I65" s="52">
        <f t="shared" si="25"/>
        <v>0</v>
      </c>
      <c r="J65" s="52">
        <f t="shared" si="26"/>
        <v>0</v>
      </c>
      <c r="K65" s="53" t="s">
        <v>125</v>
      </c>
      <c r="Z65" s="52">
        <f t="shared" si="27"/>
        <v>0</v>
      </c>
      <c r="AB65" s="52">
        <f t="shared" si="28"/>
        <v>0</v>
      </c>
      <c r="AC65" s="52">
        <f t="shared" si="29"/>
        <v>0</v>
      </c>
      <c r="AD65" s="52">
        <f t="shared" si="30"/>
        <v>0</v>
      </c>
      <c r="AE65" s="52">
        <f t="shared" si="31"/>
        <v>0</v>
      </c>
      <c r="AF65" s="52">
        <f t="shared" si="32"/>
        <v>0</v>
      </c>
      <c r="AG65" s="52">
        <f t="shared" si="33"/>
        <v>0</v>
      </c>
      <c r="AH65" s="52">
        <f t="shared" si="34"/>
        <v>0</v>
      </c>
      <c r="AI65" s="34" t="s">
        <v>195</v>
      </c>
      <c r="AJ65" s="52">
        <f t="shared" si="35"/>
        <v>0</v>
      </c>
      <c r="AK65" s="52">
        <f t="shared" si="36"/>
        <v>0</v>
      </c>
      <c r="AL65" s="52">
        <f t="shared" si="37"/>
        <v>0</v>
      </c>
      <c r="AN65" s="52">
        <v>21</v>
      </c>
      <c r="AO65" s="52">
        <f>G65*0</f>
        <v>0</v>
      </c>
      <c r="AP65" s="52">
        <f>G65*(1-0)</f>
        <v>0</v>
      </c>
      <c r="AQ65" s="54" t="s">
        <v>114</v>
      </c>
      <c r="AV65" s="52">
        <f t="shared" si="38"/>
        <v>0</v>
      </c>
      <c r="AW65" s="52">
        <f t="shared" si="39"/>
        <v>0</v>
      </c>
      <c r="AX65" s="52">
        <f t="shared" si="40"/>
        <v>0</v>
      </c>
      <c r="AY65" s="54" t="s">
        <v>207</v>
      </c>
      <c r="AZ65" s="54" t="s">
        <v>201</v>
      </c>
      <c r="BA65" s="34" t="s">
        <v>202</v>
      </c>
      <c r="BC65" s="52">
        <f t="shared" si="41"/>
        <v>0</v>
      </c>
      <c r="BD65" s="52">
        <f t="shared" si="42"/>
        <v>0</v>
      </c>
      <c r="BE65" s="52">
        <v>0</v>
      </c>
      <c r="BF65" s="52">
        <f>65</f>
        <v>65</v>
      </c>
      <c r="BH65" s="52">
        <f t="shared" si="43"/>
        <v>0</v>
      </c>
      <c r="BI65" s="52">
        <f t="shared" si="44"/>
        <v>0</v>
      </c>
      <c r="BJ65" s="52">
        <f t="shared" si="45"/>
        <v>0</v>
      </c>
      <c r="BK65" s="52"/>
      <c r="BL65" s="52">
        <v>18</v>
      </c>
      <c r="BW65" s="52">
        <v>21</v>
      </c>
      <c r="BX65" s="3" t="s">
        <v>227</v>
      </c>
    </row>
    <row r="66" spans="1:76" x14ac:dyDescent="0.25">
      <c r="A66" s="1" t="s">
        <v>228</v>
      </c>
      <c r="B66" s="2" t="s">
        <v>229</v>
      </c>
      <c r="C66" s="66" t="s">
        <v>230</v>
      </c>
      <c r="D66" s="67"/>
      <c r="E66" s="2" t="s">
        <v>231</v>
      </c>
      <c r="F66" s="52">
        <v>529</v>
      </c>
      <c r="G66" s="52">
        <v>0</v>
      </c>
      <c r="H66" s="52">
        <f t="shared" si="24"/>
        <v>0</v>
      </c>
      <c r="I66" s="52">
        <f t="shared" si="25"/>
        <v>0</v>
      </c>
      <c r="J66" s="52">
        <f t="shared" si="26"/>
        <v>0</v>
      </c>
      <c r="K66" s="53" t="s">
        <v>4</v>
      </c>
      <c r="Z66" s="52">
        <f t="shared" si="27"/>
        <v>0</v>
      </c>
      <c r="AB66" s="52">
        <f t="shared" si="28"/>
        <v>0</v>
      </c>
      <c r="AC66" s="52">
        <f t="shared" si="29"/>
        <v>0</v>
      </c>
      <c r="AD66" s="52">
        <f t="shared" si="30"/>
        <v>0</v>
      </c>
      <c r="AE66" s="52">
        <f t="shared" si="31"/>
        <v>0</v>
      </c>
      <c r="AF66" s="52">
        <f t="shared" si="32"/>
        <v>0</v>
      </c>
      <c r="AG66" s="52">
        <f t="shared" si="33"/>
        <v>0</v>
      </c>
      <c r="AH66" s="52">
        <f t="shared" si="34"/>
        <v>0</v>
      </c>
      <c r="AI66" s="34" t="s">
        <v>195</v>
      </c>
      <c r="AJ66" s="52">
        <f t="shared" si="35"/>
        <v>0</v>
      </c>
      <c r="AK66" s="52">
        <f t="shared" si="36"/>
        <v>0</v>
      </c>
      <c r="AL66" s="52">
        <f t="shared" si="37"/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114</v>
      </c>
      <c r="AV66" s="52">
        <f t="shared" si="38"/>
        <v>0</v>
      </c>
      <c r="AW66" s="52">
        <f t="shared" si="39"/>
        <v>0</v>
      </c>
      <c r="AX66" s="52">
        <f t="shared" si="40"/>
        <v>0</v>
      </c>
      <c r="AY66" s="54" t="s">
        <v>207</v>
      </c>
      <c r="AZ66" s="54" t="s">
        <v>201</v>
      </c>
      <c r="BA66" s="34" t="s">
        <v>202</v>
      </c>
      <c r="BC66" s="52">
        <f t="shared" si="41"/>
        <v>0</v>
      </c>
      <c r="BD66" s="52">
        <f t="shared" si="42"/>
        <v>0</v>
      </c>
      <c r="BE66" s="52">
        <v>0</v>
      </c>
      <c r="BF66" s="52">
        <f>66</f>
        <v>66</v>
      </c>
      <c r="BH66" s="52">
        <f t="shared" si="43"/>
        <v>0</v>
      </c>
      <c r="BI66" s="52">
        <f t="shared" si="44"/>
        <v>0</v>
      </c>
      <c r="BJ66" s="52">
        <f t="shared" si="45"/>
        <v>0</v>
      </c>
      <c r="BK66" s="52"/>
      <c r="BL66" s="52">
        <v>18</v>
      </c>
      <c r="BW66" s="52">
        <v>21</v>
      </c>
      <c r="BX66" s="3" t="s">
        <v>230</v>
      </c>
    </row>
    <row r="67" spans="1:76" x14ac:dyDescent="0.25">
      <c r="A67" s="1" t="s">
        <v>232</v>
      </c>
      <c r="B67" s="2" t="s">
        <v>233</v>
      </c>
      <c r="C67" s="66" t="s">
        <v>234</v>
      </c>
      <c r="D67" s="67"/>
      <c r="E67" s="2" t="s">
        <v>138</v>
      </c>
      <c r="F67" s="52">
        <v>131</v>
      </c>
      <c r="G67" s="52">
        <v>0</v>
      </c>
      <c r="H67" s="52">
        <f t="shared" si="24"/>
        <v>0</v>
      </c>
      <c r="I67" s="52">
        <f t="shared" si="25"/>
        <v>0</v>
      </c>
      <c r="J67" s="52">
        <f t="shared" si="26"/>
        <v>0</v>
      </c>
      <c r="K67" s="53" t="s">
        <v>125</v>
      </c>
      <c r="Z67" s="52">
        <f t="shared" si="27"/>
        <v>0</v>
      </c>
      <c r="AB67" s="52">
        <f t="shared" si="28"/>
        <v>0</v>
      </c>
      <c r="AC67" s="52">
        <f t="shared" si="29"/>
        <v>0</v>
      </c>
      <c r="AD67" s="52">
        <f t="shared" si="30"/>
        <v>0</v>
      </c>
      <c r="AE67" s="52">
        <f t="shared" si="31"/>
        <v>0</v>
      </c>
      <c r="AF67" s="52">
        <f t="shared" si="32"/>
        <v>0</v>
      </c>
      <c r="AG67" s="52">
        <f t="shared" si="33"/>
        <v>0</v>
      </c>
      <c r="AH67" s="52">
        <f t="shared" si="34"/>
        <v>0</v>
      </c>
      <c r="AI67" s="34" t="s">
        <v>195</v>
      </c>
      <c r="AJ67" s="52">
        <f t="shared" si="35"/>
        <v>0</v>
      </c>
      <c r="AK67" s="52">
        <f t="shared" si="36"/>
        <v>0</v>
      </c>
      <c r="AL67" s="52">
        <f t="shared" si="37"/>
        <v>0</v>
      </c>
      <c r="AN67" s="52">
        <v>21</v>
      </c>
      <c r="AO67" s="52">
        <f>G67*0.194008811</f>
        <v>0</v>
      </c>
      <c r="AP67" s="52">
        <f>G67*(1-0.194008811)</f>
        <v>0</v>
      </c>
      <c r="AQ67" s="54" t="s">
        <v>114</v>
      </c>
      <c r="AV67" s="52">
        <f t="shared" si="38"/>
        <v>0</v>
      </c>
      <c r="AW67" s="52">
        <f t="shared" si="39"/>
        <v>0</v>
      </c>
      <c r="AX67" s="52">
        <f t="shared" si="40"/>
        <v>0</v>
      </c>
      <c r="AY67" s="54" t="s">
        <v>207</v>
      </c>
      <c r="AZ67" s="54" t="s">
        <v>201</v>
      </c>
      <c r="BA67" s="34" t="s">
        <v>202</v>
      </c>
      <c r="BC67" s="52">
        <f t="shared" si="41"/>
        <v>0</v>
      </c>
      <c r="BD67" s="52">
        <f t="shared" si="42"/>
        <v>0</v>
      </c>
      <c r="BE67" s="52">
        <v>0</v>
      </c>
      <c r="BF67" s="52">
        <f>67</f>
        <v>67</v>
      </c>
      <c r="BH67" s="52">
        <f t="shared" si="43"/>
        <v>0</v>
      </c>
      <c r="BI67" s="52">
        <f t="shared" si="44"/>
        <v>0</v>
      </c>
      <c r="BJ67" s="52">
        <f t="shared" si="45"/>
        <v>0</v>
      </c>
      <c r="BK67" s="52"/>
      <c r="BL67" s="52">
        <v>18</v>
      </c>
      <c r="BW67" s="52">
        <v>21</v>
      </c>
      <c r="BX67" s="3" t="s">
        <v>234</v>
      </c>
    </row>
    <row r="68" spans="1:76" x14ac:dyDescent="0.25">
      <c r="A68" s="1" t="s">
        <v>235</v>
      </c>
      <c r="B68" s="2" t="s">
        <v>236</v>
      </c>
      <c r="C68" s="66" t="s">
        <v>237</v>
      </c>
      <c r="D68" s="67"/>
      <c r="E68" s="2" t="s">
        <v>231</v>
      </c>
      <c r="F68" s="52">
        <v>217</v>
      </c>
      <c r="G68" s="52">
        <v>0</v>
      </c>
      <c r="H68" s="52">
        <f t="shared" si="24"/>
        <v>0</v>
      </c>
      <c r="I68" s="52">
        <f t="shared" si="25"/>
        <v>0</v>
      </c>
      <c r="J68" s="52">
        <f t="shared" si="26"/>
        <v>0</v>
      </c>
      <c r="K68" s="53" t="s">
        <v>4</v>
      </c>
      <c r="Z68" s="52">
        <f t="shared" si="27"/>
        <v>0</v>
      </c>
      <c r="AB68" s="52">
        <f t="shared" si="28"/>
        <v>0</v>
      </c>
      <c r="AC68" s="52">
        <f t="shared" si="29"/>
        <v>0</v>
      </c>
      <c r="AD68" s="52">
        <f t="shared" si="30"/>
        <v>0</v>
      </c>
      <c r="AE68" s="52">
        <f t="shared" si="31"/>
        <v>0</v>
      </c>
      <c r="AF68" s="52">
        <f t="shared" si="32"/>
        <v>0</v>
      </c>
      <c r="AG68" s="52">
        <f t="shared" si="33"/>
        <v>0</v>
      </c>
      <c r="AH68" s="52">
        <f t="shared" si="34"/>
        <v>0</v>
      </c>
      <c r="AI68" s="34" t="s">
        <v>195</v>
      </c>
      <c r="AJ68" s="52">
        <f t="shared" si="35"/>
        <v>0</v>
      </c>
      <c r="AK68" s="52">
        <f t="shared" si="36"/>
        <v>0</v>
      </c>
      <c r="AL68" s="52">
        <f t="shared" si="37"/>
        <v>0</v>
      </c>
      <c r="AN68" s="52">
        <v>21</v>
      </c>
      <c r="AO68" s="52">
        <f>G68*0</f>
        <v>0</v>
      </c>
      <c r="AP68" s="52">
        <f>G68*(1-0)</f>
        <v>0</v>
      </c>
      <c r="AQ68" s="54" t="s">
        <v>114</v>
      </c>
      <c r="AV68" s="52">
        <f t="shared" si="38"/>
        <v>0</v>
      </c>
      <c r="AW68" s="52">
        <f t="shared" si="39"/>
        <v>0</v>
      </c>
      <c r="AX68" s="52">
        <f t="shared" si="40"/>
        <v>0</v>
      </c>
      <c r="AY68" s="54" t="s">
        <v>207</v>
      </c>
      <c r="AZ68" s="54" t="s">
        <v>201</v>
      </c>
      <c r="BA68" s="34" t="s">
        <v>202</v>
      </c>
      <c r="BC68" s="52">
        <f t="shared" si="41"/>
        <v>0</v>
      </c>
      <c r="BD68" s="52">
        <f t="shared" si="42"/>
        <v>0</v>
      </c>
      <c r="BE68" s="52">
        <v>0</v>
      </c>
      <c r="BF68" s="52">
        <f>68</f>
        <v>68</v>
      </c>
      <c r="BH68" s="52">
        <f t="shared" si="43"/>
        <v>0</v>
      </c>
      <c r="BI68" s="52">
        <f t="shared" si="44"/>
        <v>0</v>
      </c>
      <c r="BJ68" s="52">
        <f t="shared" si="45"/>
        <v>0</v>
      </c>
      <c r="BK68" s="52"/>
      <c r="BL68" s="52">
        <v>18</v>
      </c>
      <c r="BW68" s="52">
        <v>21</v>
      </c>
      <c r="BX68" s="3" t="s">
        <v>237</v>
      </c>
    </row>
    <row r="69" spans="1:76" x14ac:dyDescent="0.25">
      <c r="A69" s="1" t="s">
        <v>238</v>
      </c>
      <c r="B69" s="2" t="s">
        <v>239</v>
      </c>
      <c r="C69" s="66" t="s">
        <v>240</v>
      </c>
      <c r="D69" s="67"/>
      <c r="E69" s="2" t="s">
        <v>138</v>
      </c>
      <c r="F69" s="52">
        <v>86</v>
      </c>
      <c r="G69" s="52">
        <v>0</v>
      </c>
      <c r="H69" s="52">
        <f t="shared" si="24"/>
        <v>0</v>
      </c>
      <c r="I69" s="52">
        <f t="shared" si="25"/>
        <v>0</v>
      </c>
      <c r="J69" s="52">
        <f t="shared" si="26"/>
        <v>0</v>
      </c>
      <c r="K69" s="53" t="s">
        <v>125</v>
      </c>
      <c r="Z69" s="52">
        <f t="shared" si="27"/>
        <v>0</v>
      </c>
      <c r="AB69" s="52">
        <f t="shared" si="28"/>
        <v>0</v>
      </c>
      <c r="AC69" s="52">
        <f t="shared" si="29"/>
        <v>0</v>
      </c>
      <c r="AD69" s="52">
        <f t="shared" si="30"/>
        <v>0</v>
      </c>
      <c r="AE69" s="52">
        <f t="shared" si="31"/>
        <v>0</v>
      </c>
      <c r="AF69" s="52">
        <f t="shared" si="32"/>
        <v>0</v>
      </c>
      <c r="AG69" s="52">
        <f t="shared" si="33"/>
        <v>0</v>
      </c>
      <c r="AH69" s="52">
        <f t="shared" si="34"/>
        <v>0</v>
      </c>
      <c r="AI69" s="34" t="s">
        <v>195</v>
      </c>
      <c r="AJ69" s="52">
        <f t="shared" si="35"/>
        <v>0</v>
      </c>
      <c r="AK69" s="52">
        <f t="shared" si="36"/>
        <v>0</v>
      </c>
      <c r="AL69" s="52">
        <f t="shared" si="37"/>
        <v>0</v>
      </c>
      <c r="AN69" s="52">
        <v>21</v>
      </c>
      <c r="AO69" s="52">
        <f>G69*0.570710059</f>
        <v>0</v>
      </c>
      <c r="AP69" s="52">
        <f>G69*(1-0.570710059)</f>
        <v>0</v>
      </c>
      <c r="AQ69" s="54" t="s">
        <v>114</v>
      </c>
      <c r="AV69" s="52">
        <f t="shared" si="38"/>
        <v>0</v>
      </c>
      <c r="AW69" s="52">
        <f t="shared" si="39"/>
        <v>0</v>
      </c>
      <c r="AX69" s="52">
        <f t="shared" si="40"/>
        <v>0</v>
      </c>
      <c r="AY69" s="54" t="s">
        <v>207</v>
      </c>
      <c r="AZ69" s="54" t="s">
        <v>201</v>
      </c>
      <c r="BA69" s="34" t="s">
        <v>202</v>
      </c>
      <c r="BC69" s="52">
        <f t="shared" si="41"/>
        <v>0</v>
      </c>
      <c r="BD69" s="52">
        <f t="shared" si="42"/>
        <v>0</v>
      </c>
      <c r="BE69" s="52">
        <v>0</v>
      </c>
      <c r="BF69" s="52">
        <f>69</f>
        <v>69</v>
      </c>
      <c r="BH69" s="52">
        <f t="shared" si="43"/>
        <v>0</v>
      </c>
      <c r="BI69" s="52">
        <f t="shared" si="44"/>
        <v>0</v>
      </c>
      <c r="BJ69" s="52">
        <f t="shared" si="45"/>
        <v>0</v>
      </c>
      <c r="BK69" s="52"/>
      <c r="BL69" s="52">
        <v>18</v>
      </c>
      <c r="BW69" s="52">
        <v>21</v>
      </c>
      <c r="BX69" s="3" t="s">
        <v>240</v>
      </c>
    </row>
    <row r="70" spans="1:76" x14ac:dyDescent="0.25">
      <c r="A70" s="1" t="s">
        <v>241</v>
      </c>
      <c r="B70" s="2" t="s">
        <v>242</v>
      </c>
      <c r="C70" s="66" t="s">
        <v>243</v>
      </c>
      <c r="D70" s="67"/>
      <c r="E70" s="2" t="s">
        <v>129</v>
      </c>
      <c r="F70" s="52">
        <v>22.8</v>
      </c>
      <c r="G70" s="52">
        <v>0</v>
      </c>
      <c r="H70" s="52">
        <f t="shared" si="24"/>
        <v>0</v>
      </c>
      <c r="I70" s="52">
        <f t="shared" si="25"/>
        <v>0</v>
      </c>
      <c r="J70" s="52">
        <f t="shared" si="26"/>
        <v>0</v>
      </c>
      <c r="K70" s="53" t="s">
        <v>130</v>
      </c>
      <c r="Z70" s="52">
        <f t="shared" si="27"/>
        <v>0</v>
      </c>
      <c r="AB70" s="52">
        <f t="shared" si="28"/>
        <v>0</v>
      </c>
      <c r="AC70" s="52">
        <f t="shared" si="29"/>
        <v>0</v>
      </c>
      <c r="AD70" s="52">
        <f t="shared" si="30"/>
        <v>0</v>
      </c>
      <c r="AE70" s="52">
        <f t="shared" si="31"/>
        <v>0</v>
      </c>
      <c r="AF70" s="52">
        <f t="shared" si="32"/>
        <v>0</v>
      </c>
      <c r="AG70" s="52">
        <f t="shared" si="33"/>
        <v>0</v>
      </c>
      <c r="AH70" s="52">
        <f t="shared" si="34"/>
        <v>0</v>
      </c>
      <c r="AI70" s="34" t="s">
        <v>195</v>
      </c>
      <c r="AJ70" s="52">
        <f t="shared" si="35"/>
        <v>0</v>
      </c>
      <c r="AK70" s="52">
        <f t="shared" si="36"/>
        <v>0</v>
      </c>
      <c r="AL70" s="52">
        <f t="shared" si="37"/>
        <v>0</v>
      </c>
      <c r="AN70" s="52">
        <v>21</v>
      </c>
      <c r="AO70" s="52">
        <f>G70*0</f>
        <v>0</v>
      </c>
      <c r="AP70" s="52">
        <f>G70*(1-0)</f>
        <v>0</v>
      </c>
      <c r="AQ70" s="54" t="s">
        <v>114</v>
      </c>
      <c r="AV70" s="52">
        <f t="shared" si="38"/>
        <v>0</v>
      </c>
      <c r="AW70" s="52">
        <f t="shared" si="39"/>
        <v>0</v>
      </c>
      <c r="AX70" s="52">
        <f t="shared" si="40"/>
        <v>0</v>
      </c>
      <c r="AY70" s="54" t="s">
        <v>207</v>
      </c>
      <c r="AZ70" s="54" t="s">
        <v>201</v>
      </c>
      <c r="BA70" s="34" t="s">
        <v>202</v>
      </c>
      <c r="BC70" s="52">
        <f t="shared" si="41"/>
        <v>0</v>
      </c>
      <c r="BD70" s="52">
        <f t="shared" si="42"/>
        <v>0</v>
      </c>
      <c r="BE70" s="52">
        <v>0</v>
      </c>
      <c r="BF70" s="52">
        <f>70</f>
        <v>70</v>
      </c>
      <c r="BH70" s="52">
        <f t="shared" si="43"/>
        <v>0</v>
      </c>
      <c r="BI70" s="52">
        <f t="shared" si="44"/>
        <v>0</v>
      </c>
      <c r="BJ70" s="52">
        <f t="shared" si="45"/>
        <v>0</v>
      </c>
      <c r="BK70" s="52"/>
      <c r="BL70" s="52">
        <v>18</v>
      </c>
      <c r="BW70" s="52">
        <v>21</v>
      </c>
      <c r="BX70" s="3" t="s">
        <v>243</v>
      </c>
    </row>
    <row r="71" spans="1:76" x14ac:dyDescent="0.25">
      <c r="A71" s="48" t="s">
        <v>4</v>
      </c>
      <c r="B71" s="49" t="s">
        <v>244</v>
      </c>
      <c r="C71" s="143" t="s">
        <v>245</v>
      </c>
      <c r="D71" s="144"/>
      <c r="E71" s="50" t="s">
        <v>73</v>
      </c>
      <c r="F71" s="50" t="s">
        <v>73</v>
      </c>
      <c r="G71" s="50" t="s">
        <v>73</v>
      </c>
      <c r="H71" s="28">
        <f>SUM(H72:H72)</f>
        <v>0</v>
      </c>
      <c r="I71" s="28">
        <f>SUM(I72:I72)</f>
        <v>0</v>
      </c>
      <c r="J71" s="28">
        <f>SUM(J72:J72)</f>
        <v>0</v>
      </c>
      <c r="K71" s="51" t="s">
        <v>4</v>
      </c>
      <c r="AI71" s="34" t="s">
        <v>195</v>
      </c>
      <c r="AS71" s="28">
        <f>SUM(AJ72:AJ72)</f>
        <v>0</v>
      </c>
      <c r="AT71" s="28">
        <f>SUM(AK72:AK72)</f>
        <v>0</v>
      </c>
      <c r="AU71" s="28">
        <f>SUM(AL72:AL72)</f>
        <v>0</v>
      </c>
    </row>
    <row r="72" spans="1:76" x14ac:dyDescent="0.25">
      <c r="A72" s="1" t="s">
        <v>246</v>
      </c>
      <c r="B72" s="2" t="s">
        <v>247</v>
      </c>
      <c r="C72" s="66" t="s">
        <v>248</v>
      </c>
      <c r="D72" s="67"/>
      <c r="E72" s="2" t="s">
        <v>249</v>
      </c>
      <c r="F72" s="52">
        <v>58.5</v>
      </c>
      <c r="G72" s="52">
        <v>0</v>
      </c>
      <c r="H72" s="52">
        <f>F72*AO72</f>
        <v>0</v>
      </c>
      <c r="I72" s="52">
        <f>F72*AP72</f>
        <v>0</v>
      </c>
      <c r="J72" s="52">
        <f>F72*G72</f>
        <v>0</v>
      </c>
      <c r="K72" s="53" t="s">
        <v>125</v>
      </c>
      <c r="Z72" s="52">
        <f>IF(AQ72="5",BJ72,0)</f>
        <v>0</v>
      </c>
      <c r="AB72" s="52">
        <f>IF(AQ72="1",BH72,0)</f>
        <v>0</v>
      </c>
      <c r="AC72" s="52">
        <f>IF(AQ72="1",BI72,0)</f>
        <v>0</v>
      </c>
      <c r="AD72" s="52">
        <f>IF(AQ72="7",BH72,0)</f>
        <v>0</v>
      </c>
      <c r="AE72" s="52">
        <f>IF(AQ72="7",BI72,0)</f>
        <v>0</v>
      </c>
      <c r="AF72" s="52">
        <f>IF(AQ72="2",BH72,0)</f>
        <v>0</v>
      </c>
      <c r="AG72" s="52">
        <f>IF(AQ72="2",BI72,0)</f>
        <v>0</v>
      </c>
      <c r="AH72" s="52">
        <f>IF(AQ72="0",BJ72,0)</f>
        <v>0</v>
      </c>
      <c r="AI72" s="34" t="s">
        <v>195</v>
      </c>
      <c r="AJ72" s="52">
        <f>IF(AN72=0,J72,0)</f>
        <v>0</v>
      </c>
      <c r="AK72" s="52">
        <f>IF(AN72=12,J72,0)</f>
        <v>0</v>
      </c>
      <c r="AL72" s="52">
        <f>IF(AN72=21,J72,0)</f>
        <v>0</v>
      </c>
      <c r="AN72" s="52">
        <v>21</v>
      </c>
      <c r="AO72" s="52">
        <f>G72*0</f>
        <v>0</v>
      </c>
      <c r="AP72" s="52">
        <f>G72*(1-0)</f>
        <v>0</v>
      </c>
      <c r="AQ72" s="54" t="s">
        <v>135</v>
      </c>
      <c r="AV72" s="52">
        <f>AW72+AX72</f>
        <v>0</v>
      </c>
      <c r="AW72" s="52">
        <f>F72*AO72</f>
        <v>0</v>
      </c>
      <c r="AX72" s="52">
        <f>F72*AP72</f>
        <v>0</v>
      </c>
      <c r="AY72" s="54" t="s">
        <v>250</v>
      </c>
      <c r="AZ72" s="54" t="s">
        <v>251</v>
      </c>
      <c r="BA72" s="34" t="s">
        <v>202</v>
      </c>
      <c r="BC72" s="52">
        <f>AW72+AX72</f>
        <v>0</v>
      </c>
      <c r="BD72" s="52">
        <f>G72/(100-BE72)*100</f>
        <v>0</v>
      </c>
      <c r="BE72" s="52">
        <v>0</v>
      </c>
      <c r="BF72" s="52">
        <f>72</f>
        <v>72</v>
      </c>
      <c r="BH72" s="52">
        <f>F72*AO72</f>
        <v>0</v>
      </c>
      <c r="BI72" s="52">
        <f>F72*AP72</f>
        <v>0</v>
      </c>
      <c r="BJ72" s="52">
        <f>F72*G72</f>
        <v>0</v>
      </c>
      <c r="BK72" s="52"/>
      <c r="BL72" s="52"/>
      <c r="BW72" s="52">
        <v>21</v>
      </c>
      <c r="BX72" s="3" t="s">
        <v>248</v>
      </c>
    </row>
    <row r="73" spans="1:76" x14ac:dyDescent="0.25">
      <c r="A73" s="48" t="s">
        <v>4</v>
      </c>
      <c r="B73" s="49" t="s">
        <v>252</v>
      </c>
      <c r="C73" s="143" t="s">
        <v>37</v>
      </c>
      <c r="D73" s="144"/>
      <c r="E73" s="50" t="s">
        <v>73</v>
      </c>
      <c r="F73" s="50" t="s">
        <v>73</v>
      </c>
      <c r="G73" s="50" t="s">
        <v>73</v>
      </c>
      <c r="H73" s="28">
        <f>SUM(H74:H92)</f>
        <v>0</v>
      </c>
      <c r="I73" s="28">
        <f>SUM(I74:I92)</f>
        <v>0</v>
      </c>
      <c r="J73" s="28">
        <f>SUM(J74:J92)</f>
        <v>0</v>
      </c>
      <c r="K73" s="51" t="s">
        <v>4</v>
      </c>
      <c r="AI73" s="34" t="s">
        <v>195</v>
      </c>
      <c r="AS73" s="28">
        <f>SUM(AJ74:AJ92)</f>
        <v>0</v>
      </c>
      <c r="AT73" s="28">
        <f>SUM(AK74:AK92)</f>
        <v>0</v>
      </c>
      <c r="AU73" s="28">
        <f>SUM(AL74:AL92)</f>
        <v>0</v>
      </c>
    </row>
    <row r="74" spans="1:76" x14ac:dyDescent="0.25">
      <c r="A74" s="1" t="s">
        <v>253</v>
      </c>
      <c r="B74" s="2" t="s">
        <v>254</v>
      </c>
      <c r="C74" s="66" t="s">
        <v>255</v>
      </c>
      <c r="D74" s="67"/>
      <c r="E74" s="2" t="s">
        <v>231</v>
      </c>
      <c r="F74" s="52">
        <v>3198</v>
      </c>
      <c r="G74" s="52">
        <v>0</v>
      </c>
      <c r="H74" s="52">
        <f>F74*AO74</f>
        <v>0</v>
      </c>
      <c r="I74" s="52">
        <f>F74*AP74</f>
        <v>0</v>
      </c>
      <c r="J74" s="52">
        <f>F74*G74</f>
        <v>0</v>
      </c>
      <c r="K74" s="53" t="s">
        <v>4</v>
      </c>
      <c r="Z74" s="52">
        <f>IF(AQ74="5",BJ74,0)</f>
        <v>0</v>
      </c>
      <c r="AB74" s="52">
        <f>IF(AQ74="1",BH74,0)</f>
        <v>0</v>
      </c>
      <c r="AC74" s="52">
        <f>IF(AQ74="1",BI74,0)</f>
        <v>0</v>
      </c>
      <c r="AD74" s="52">
        <f>IF(AQ74="7",BH74,0)</f>
        <v>0</v>
      </c>
      <c r="AE74" s="52">
        <f>IF(AQ74="7",BI74,0)</f>
        <v>0</v>
      </c>
      <c r="AF74" s="52">
        <f>IF(AQ74="2",BH74,0)</f>
        <v>0</v>
      </c>
      <c r="AG74" s="52">
        <f>IF(AQ74="2",BI74,0)</f>
        <v>0</v>
      </c>
      <c r="AH74" s="52">
        <f>IF(AQ74="0",BJ74,0)</f>
        <v>0</v>
      </c>
      <c r="AI74" s="34" t="s">
        <v>195</v>
      </c>
      <c r="AJ74" s="52">
        <f>IF(AN74=0,J74,0)</f>
        <v>0</v>
      </c>
      <c r="AK74" s="52">
        <f>IF(AN74=12,J74,0)</f>
        <v>0</v>
      </c>
      <c r="AL74" s="52">
        <f>IF(AN74=21,J74,0)</f>
        <v>0</v>
      </c>
      <c r="AN74" s="52">
        <v>21</v>
      </c>
      <c r="AO74" s="52">
        <f>G74*1</f>
        <v>0</v>
      </c>
      <c r="AP74" s="52">
        <f>G74*(1-1)</f>
        <v>0</v>
      </c>
      <c r="AQ74" s="54" t="s">
        <v>256</v>
      </c>
      <c r="AV74" s="52">
        <f>AW74+AX74</f>
        <v>0</v>
      </c>
      <c r="AW74" s="52">
        <f>F74*AO74</f>
        <v>0</v>
      </c>
      <c r="AX74" s="52">
        <f>F74*AP74</f>
        <v>0</v>
      </c>
      <c r="AY74" s="54" t="s">
        <v>257</v>
      </c>
      <c r="AZ74" s="54" t="s">
        <v>258</v>
      </c>
      <c r="BA74" s="34" t="s">
        <v>202</v>
      </c>
      <c r="BC74" s="52">
        <f>AW74+AX74</f>
        <v>0</v>
      </c>
      <c r="BD74" s="52">
        <f>G74/(100-BE74)*100</f>
        <v>0</v>
      </c>
      <c r="BE74" s="52">
        <v>0</v>
      </c>
      <c r="BF74" s="52">
        <f>74</f>
        <v>74</v>
      </c>
      <c r="BH74" s="52">
        <f>F74*AO74</f>
        <v>0</v>
      </c>
      <c r="BI74" s="52">
        <f>F74*AP74</f>
        <v>0</v>
      </c>
      <c r="BJ74" s="52">
        <f>F74*G74</f>
        <v>0</v>
      </c>
      <c r="BK74" s="52"/>
      <c r="BL74" s="52"/>
      <c r="BW74" s="52">
        <v>21</v>
      </c>
      <c r="BX74" s="3" t="s">
        <v>255</v>
      </c>
    </row>
    <row r="75" spans="1:76" x14ac:dyDescent="0.25">
      <c r="A75" s="1" t="s">
        <v>259</v>
      </c>
      <c r="B75" s="2" t="s">
        <v>260</v>
      </c>
      <c r="C75" s="66" t="s">
        <v>261</v>
      </c>
      <c r="D75" s="67"/>
      <c r="E75" s="2" t="s">
        <v>231</v>
      </c>
      <c r="F75" s="52">
        <v>217</v>
      </c>
      <c r="G75" s="52">
        <v>0</v>
      </c>
      <c r="H75" s="52">
        <f>F75*AO75</f>
        <v>0</v>
      </c>
      <c r="I75" s="52">
        <f>F75*AP75</f>
        <v>0</v>
      </c>
      <c r="J75" s="52">
        <f>F75*G75</f>
        <v>0</v>
      </c>
      <c r="K75" s="53" t="s">
        <v>4</v>
      </c>
      <c r="Z75" s="52">
        <f>IF(AQ75="5",BJ75,0)</f>
        <v>0</v>
      </c>
      <c r="AB75" s="52">
        <f>IF(AQ75="1",BH75,0)</f>
        <v>0</v>
      </c>
      <c r="AC75" s="52">
        <f>IF(AQ75="1",BI75,0)</f>
        <v>0</v>
      </c>
      <c r="AD75" s="52">
        <f>IF(AQ75="7",BH75,0)</f>
        <v>0</v>
      </c>
      <c r="AE75" s="52">
        <f>IF(AQ75="7",BI75,0)</f>
        <v>0</v>
      </c>
      <c r="AF75" s="52">
        <f>IF(AQ75="2",BH75,0)</f>
        <v>0</v>
      </c>
      <c r="AG75" s="52">
        <f>IF(AQ75="2",BI75,0)</f>
        <v>0</v>
      </c>
      <c r="AH75" s="52">
        <f>IF(AQ75="0",BJ75,0)</f>
        <v>0</v>
      </c>
      <c r="AI75" s="34" t="s">
        <v>195</v>
      </c>
      <c r="AJ75" s="52">
        <f>IF(AN75=0,J75,0)</f>
        <v>0</v>
      </c>
      <c r="AK75" s="52">
        <f>IF(AN75=12,J75,0)</f>
        <v>0</v>
      </c>
      <c r="AL75" s="52">
        <f>IF(AN75=21,J75,0)</f>
        <v>0</v>
      </c>
      <c r="AN75" s="52">
        <v>21</v>
      </c>
      <c r="AO75" s="52">
        <f>G75*1</f>
        <v>0</v>
      </c>
      <c r="AP75" s="52">
        <f>G75*(1-1)</f>
        <v>0</v>
      </c>
      <c r="AQ75" s="54" t="s">
        <v>256</v>
      </c>
      <c r="AV75" s="52">
        <f>AW75+AX75</f>
        <v>0</v>
      </c>
      <c r="AW75" s="52">
        <f>F75*AO75</f>
        <v>0</v>
      </c>
      <c r="AX75" s="52">
        <f>F75*AP75</f>
        <v>0</v>
      </c>
      <c r="AY75" s="54" t="s">
        <v>257</v>
      </c>
      <c r="AZ75" s="54" t="s">
        <v>258</v>
      </c>
      <c r="BA75" s="34" t="s">
        <v>202</v>
      </c>
      <c r="BC75" s="52">
        <f>AW75+AX75</f>
        <v>0</v>
      </c>
      <c r="BD75" s="52">
        <f>G75/(100-BE75)*100</f>
        <v>0</v>
      </c>
      <c r="BE75" s="52">
        <v>0</v>
      </c>
      <c r="BF75" s="52">
        <f>75</f>
        <v>75</v>
      </c>
      <c r="BH75" s="52">
        <f>F75*AO75</f>
        <v>0</v>
      </c>
      <c r="BI75" s="52">
        <f>F75*AP75</f>
        <v>0</v>
      </c>
      <c r="BJ75" s="52">
        <f>F75*G75</f>
        <v>0</v>
      </c>
      <c r="BK75" s="52"/>
      <c r="BL75" s="52"/>
      <c r="BW75" s="52">
        <v>21</v>
      </c>
      <c r="BX75" s="3" t="s">
        <v>261</v>
      </c>
    </row>
    <row r="76" spans="1:76" x14ac:dyDescent="0.25">
      <c r="A76" s="1" t="s">
        <v>262</v>
      </c>
      <c r="B76" s="2" t="s">
        <v>263</v>
      </c>
      <c r="C76" s="66" t="s">
        <v>264</v>
      </c>
      <c r="D76" s="67"/>
      <c r="E76" s="2" t="s">
        <v>129</v>
      </c>
      <c r="F76" s="52">
        <v>53</v>
      </c>
      <c r="G76" s="52">
        <v>0</v>
      </c>
      <c r="H76" s="52">
        <f>F76*AO76</f>
        <v>0</v>
      </c>
      <c r="I76" s="52">
        <f>F76*AP76</f>
        <v>0</v>
      </c>
      <c r="J76" s="52">
        <f>F76*G76</f>
        <v>0</v>
      </c>
      <c r="K76" s="53" t="s">
        <v>125</v>
      </c>
      <c r="Z76" s="52">
        <f>IF(AQ76="5",BJ76,0)</f>
        <v>0</v>
      </c>
      <c r="AB76" s="52">
        <f>IF(AQ76="1",BH76,0)</f>
        <v>0</v>
      </c>
      <c r="AC76" s="52">
        <f>IF(AQ76="1",BI76,0)</f>
        <v>0</v>
      </c>
      <c r="AD76" s="52">
        <f>IF(AQ76="7",BH76,0)</f>
        <v>0</v>
      </c>
      <c r="AE76" s="52">
        <f>IF(AQ76="7",BI76,0)</f>
        <v>0</v>
      </c>
      <c r="AF76" s="52">
        <f>IF(AQ76="2",BH76,0)</f>
        <v>0</v>
      </c>
      <c r="AG76" s="52">
        <f>IF(AQ76="2",BI76,0)</f>
        <v>0</v>
      </c>
      <c r="AH76" s="52">
        <f>IF(AQ76="0",BJ76,0)</f>
        <v>0</v>
      </c>
      <c r="AI76" s="34" t="s">
        <v>195</v>
      </c>
      <c r="AJ76" s="52">
        <f>IF(AN76=0,J76,0)</f>
        <v>0</v>
      </c>
      <c r="AK76" s="52">
        <f>IF(AN76=12,J76,0)</f>
        <v>0</v>
      </c>
      <c r="AL76" s="52">
        <f>IF(AN76=21,J76,0)</f>
        <v>0</v>
      </c>
      <c r="AN76" s="52">
        <v>21</v>
      </c>
      <c r="AO76" s="52">
        <f>G76*1</f>
        <v>0</v>
      </c>
      <c r="AP76" s="52">
        <f>G76*(1-1)</f>
        <v>0</v>
      </c>
      <c r="AQ76" s="54" t="s">
        <v>256</v>
      </c>
      <c r="AV76" s="52">
        <f>AW76+AX76</f>
        <v>0</v>
      </c>
      <c r="AW76" s="52">
        <f>F76*AO76</f>
        <v>0</v>
      </c>
      <c r="AX76" s="52">
        <f>F76*AP76</f>
        <v>0</v>
      </c>
      <c r="AY76" s="54" t="s">
        <v>257</v>
      </c>
      <c r="AZ76" s="54" t="s">
        <v>258</v>
      </c>
      <c r="BA76" s="34" t="s">
        <v>202</v>
      </c>
      <c r="BC76" s="52">
        <f>AW76+AX76</f>
        <v>0</v>
      </c>
      <c r="BD76" s="52">
        <f>G76/(100-BE76)*100</f>
        <v>0</v>
      </c>
      <c r="BE76" s="52">
        <v>0</v>
      </c>
      <c r="BF76" s="52">
        <f>76</f>
        <v>76</v>
      </c>
      <c r="BH76" s="52">
        <f>F76*AO76</f>
        <v>0</v>
      </c>
      <c r="BI76" s="52">
        <f>F76*AP76</f>
        <v>0</v>
      </c>
      <c r="BJ76" s="52">
        <f>F76*G76</f>
        <v>0</v>
      </c>
      <c r="BK76" s="52"/>
      <c r="BL76" s="52"/>
      <c r="BW76" s="52">
        <v>21</v>
      </c>
      <c r="BX76" s="3" t="s">
        <v>264</v>
      </c>
    </row>
    <row r="77" spans="1:76" x14ac:dyDescent="0.25">
      <c r="A77" s="1" t="s">
        <v>265</v>
      </c>
      <c r="B77" s="2" t="s">
        <v>266</v>
      </c>
      <c r="C77" s="66" t="s">
        <v>267</v>
      </c>
      <c r="D77" s="67"/>
      <c r="E77" s="2" t="s">
        <v>268</v>
      </c>
      <c r="F77" s="52">
        <v>86</v>
      </c>
      <c r="G77" s="52">
        <v>0</v>
      </c>
      <c r="H77" s="52">
        <f>F77*AO77</f>
        <v>0</v>
      </c>
      <c r="I77" s="52">
        <f>F77*AP77</f>
        <v>0</v>
      </c>
      <c r="J77" s="52">
        <f>F77*G77</f>
        <v>0</v>
      </c>
      <c r="K77" s="53" t="s">
        <v>4</v>
      </c>
      <c r="Z77" s="52">
        <f>IF(AQ77="5",BJ77,0)</f>
        <v>0</v>
      </c>
      <c r="AB77" s="52">
        <f>IF(AQ77="1",BH77,0)</f>
        <v>0</v>
      </c>
      <c r="AC77" s="52">
        <f>IF(AQ77="1",BI77,0)</f>
        <v>0</v>
      </c>
      <c r="AD77" s="52">
        <f>IF(AQ77="7",BH77,0)</f>
        <v>0</v>
      </c>
      <c r="AE77" s="52">
        <f>IF(AQ77="7",BI77,0)</f>
        <v>0</v>
      </c>
      <c r="AF77" s="52">
        <f>IF(AQ77="2",BH77,0)</f>
        <v>0</v>
      </c>
      <c r="AG77" s="52">
        <f>IF(AQ77="2",BI77,0)</f>
        <v>0</v>
      </c>
      <c r="AH77" s="52">
        <f>IF(AQ77="0",BJ77,0)</f>
        <v>0</v>
      </c>
      <c r="AI77" s="34" t="s">
        <v>195</v>
      </c>
      <c r="AJ77" s="52">
        <f>IF(AN77=0,J77,0)</f>
        <v>0</v>
      </c>
      <c r="AK77" s="52">
        <f>IF(AN77=12,J77,0)</f>
        <v>0</v>
      </c>
      <c r="AL77" s="52">
        <f>IF(AN77=21,J77,0)</f>
        <v>0</v>
      </c>
      <c r="AN77" s="52">
        <v>21</v>
      </c>
      <c r="AO77" s="52">
        <f>G77*1</f>
        <v>0</v>
      </c>
      <c r="AP77" s="52">
        <f>G77*(1-1)</f>
        <v>0</v>
      </c>
      <c r="AQ77" s="54" t="s">
        <v>256</v>
      </c>
      <c r="AV77" s="52">
        <f>AW77+AX77</f>
        <v>0</v>
      </c>
      <c r="AW77" s="52">
        <f>F77*AO77</f>
        <v>0</v>
      </c>
      <c r="AX77" s="52">
        <f>F77*AP77</f>
        <v>0</v>
      </c>
      <c r="AY77" s="54" t="s">
        <v>257</v>
      </c>
      <c r="AZ77" s="54" t="s">
        <v>258</v>
      </c>
      <c r="BA77" s="34" t="s">
        <v>202</v>
      </c>
      <c r="BC77" s="52">
        <f>AW77+AX77</f>
        <v>0</v>
      </c>
      <c r="BD77" s="52">
        <f>G77/(100-BE77)*100</f>
        <v>0</v>
      </c>
      <c r="BE77" s="52">
        <v>0</v>
      </c>
      <c r="BF77" s="52">
        <f>77</f>
        <v>77</v>
      </c>
      <c r="BH77" s="52">
        <f>F77*AO77</f>
        <v>0</v>
      </c>
      <c r="BI77" s="52">
        <f>F77*AP77</f>
        <v>0</v>
      </c>
      <c r="BJ77" s="52">
        <f>F77*G77</f>
        <v>0</v>
      </c>
      <c r="BK77" s="52"/>
      <c r="BL77" s="52"/>
      <c r="BW77" s="52">
        <v>21</v>
      </c>
      <c r="BX77" s="3" t="s">
        <v>267</v>
      </c>
    </row>
    <row r="78" spans="1:76" x14ac:dyDescent="0.25">
      <c r="A78" s="1" t="s">
        <v>269</v>
      </c>
      <c r="B78" s="2" t="s">
        <v>270</v>
      </c>
      <c r="C78" s="66" t="s">
        <v>271</v>
      </c>
      <c r="D78" s="67"/>
      <c r="E78" s="2" t="s">
        <v>231</v>
      </c>
      <c r="F78" s="52">
        <v>86</v>
      </c>
      <c r="G78" s="52">
        <v>0</v>
      </c>
      <c r="H78" s="52">
        <f>F78*AO78</f>
        <v>0</v>
      </c>
      <c r="I78" s="52">
        <f>F78*AP78</f>
        <v>0</v>
      </c>
      <c r="J78" s="52">
        <f>F78*G78</f>
        <v>0</v>
      </c>
      <c r="K78" s="53" t="s">
        <v>4</v>
      </c>
      <c r="Z78" s="52">
        <f>IF(AQ78="5",BJ78,0)</f>
        <v>0</v>
      </c>
      <c r="AB78" s="52">
        <f>IF(AQ78="1",BH78,0)</f>
        <v>0</v>
      </c>
      <c r="AC78" s="52">
        <f>IF(AQ78="1",BI78,0)</f>
        <v>0</v>
      </c>
      <c r="AD78" s="52">
        <f>IF(AQ78="7",BH78,0)</f>
        <v>0</v>
      </c>
      <c r="AE78" s="52">
        <f>IF(AQ78="7",BI78,0)</f>
        <v>0</v>
      </c>
      <c r="AF78" s="52">
        <f>IF(AQ78="2",BH78,0)</f>
        <v>0</v>
      </c>
      <c r="AG78" s="52">
        <f>IF(AQ78="2",BI78,0)</f>
        <v>0</v>
      </c>
      <c r="AH78" s="52">
        <f>IF(AQ78="0",BJ78,0)</f>
        <v>0</v>
      </c>
      <c r="AI78" s="34" t="s">
        <v>195</v>
      </c>
      <c r="AJ78" s="52">
        <f>IF(AN78=0,J78,0)</f>
        <v>0</v>
      </c>
      <c r="AK78" s="52">
        <f>IF(AN78=12,J78,0)</f>
        <v>0</v>
      </c>
      <c r="AL78" s="52">
        <f>IF(AN78=21,J78,0)</f>
        <v>0</v>
      </c>
      <c r="AN78" s="52">
        <v>21</v>
      </c>
      <c r="AO78" s="52">
        <f>G78*1</f>
        <v>0</v>
      </c>
      <c r="AP78" s="52">
        <f>G78*(1-1)</f>
        <v>0</v>
      </c>
      <c r="AQ78" s="54" t="s">
        <v>256</v>
      </c>
      <c r="AV78" s="52">
        <f>AW78+AX78</f>
        <v>0</v>
      </c>
      <c r="AW78" s="52">
        <f>F78*AO78</f>
        <v>0</v>
      </c>
      <c r="AX78" s="52">
        <f>F78*AP78</f>
        <v>0</v>
      </c>
      <c r="AY78" s="54" t="s">
        <v>257</v>
      </c>
      <c r="AZ78" s="54" t="s">
        <v>258</v>
      </c>
      <c r="BA78" s="34" t="s">
        <v>202</v>
      </c>
      <c r="BC78" s="52">
        <f>AW78+AX78</f>
        <v>0</v>
      </c>
      <c r="BD78" s="52">
        <f>G78/(100-BE78)*100</f>
        <v>0</v>
      </c>
      <c r="BE78" s="52">
        <v>0</v>
      </c>
      <c r="BF78" s="52">
        <f>78</f>
        <v>78</v>
      </c>
      <c r="BH78" s="52">
        <f>F78*AO78</f>
        <v>0</v>
      </c>
      <c r="BI78" s="52">
        <f>F78*AP78</f>
        <v>0</v>
      </c>
      <c r="BJ78" s="52">
        <f>F78*G78</f>
        <v>0</v>
      </c>
      <c r="BK78" s="52"/>
      <c r="BL78" s="52"/>
      <c r="BW78" s="52">
        <v>21</v>
      </c>
      <c r="BX78" s="3" t="s">
        <v>271</v>
      </c>
    </row>
    <row r="79" spans="1:76" ht="67.5" customHeight="1" x14ac:dyDescent="0.25">
      <c r="A79" s="55"/>
      <c r="B79" s="56" t="s">
        <v>57</v>
      </c>
      <c r="C79" s="138" t="s">
        <v>272</v>
      </c>
      <c r="D79" s="139"/>
      <c r="E79" s="139"/>
      <c r="F79" s="139"/>
      <c r="G79" s="139"/>
      <c r="H79" s="139"/>
      <c r="I79" s="139"/>
      <c r="J79" s="139"/>
      <c r="K79" s="140"/>
    </row>
    <row r="80" spans="1:76" x14ac:dyDescent="0.25">
      <c r="A80" s="1" t="s">
        <v>273</v>
      </c>
      <c r="B80" s="2" t="s">
        <v>274</v>
      </c>
      <c r="C80" s="66" t="s">
        <v>275</v>
      </c>
      <c r="D80" s="67"/>
      <c r="E80" s="2" t="s">
        <v>231</v>
      </c>
      <c r="F80" s="52">
        <v>262</v>
      </c>
      <c r="G80" s="52">
        <v>0</v>
      </c>
      <c r="H80" s="52">
        <f>F80*AO80</f>
        <v>0</v>
      </c>
      <c r="I80" s="52">
        <f>F80*AP80</f>
        <v>0</v>
      </c>
      <c r="J80" s="52">
        <f>F80*G80</f>
        <v>0</v>
      </c>
      <c r="K80" s="53" t="s">
        <v>4</v>
      </c>
      <c r="Z80" s="52">
        <f>IF(AQ80="5",BJ80,0)</f>
        <v>0</v>
      </c>
      <c r="AB80" s="52">
        <f>IF(AQ80="1",BH80,0)</f>
        <v>0</v>
      </c>
      <c r="AC80" s="52">
        <f>IF(AQ80="1",BI80,0)</f>
        <v>0</v>
      </c>
      <c r="AD80" s="52">
        <f>IF(AQ80="7",BH80,0)</f>
        <v>0</v>
      </c>
      <c r="AE80" s="52">
        <f>IF(AQ80="7",BI80,0)</f>
        <v>0</v>
      </c>
      <c r="AF80" s="52">
        <f>IF(AQ80="2",BH80,0)</f>
        <v>0</v>
      </c>
      <c r="AG80" s="52">
        <f>IF(AQ80="2",BI80,0)</f>
        <v>0</v>
      </c>
      <c r="AH80" s="52">
        <f>IF(AQ80="0",BJ80,0)</f>
        <v>0</v>
      </c>
      <c r="AI80" s="34" t="s">
        <v>195</v>
      </c>
      <c r="AJ80" s="52">
        <f>IF(AN80=0,J80,0)</f>
        <v>0</v>
      </c>
      <c r="AK80" s="52">
        <f>IF(AN80=12,J80,0)</f>
        <v>0</v>
      </c>
      <c r="AL80" s="52">
        <f>IF(AN80=21,J80,0)</f>
        <v>0</v>
      </c>
      <c r="AN80" s="52">
        <v>21</v>
      </c>
      <c r="AO80" s="52">
        <f>G80*1</f>
        <v>0</v>
      </c>
      <c r="AP80" s="52">
        <f>G80*(1-1)</f>
        <v>0</v>
      </c>
      <c r="AQ80" s="54" t="s">
        <v>256</v>
      </c>
      <c r="AV80" s="52">
        <f>AW80+AX80</f>
        <v>0</v>
      </c>
      <c r="AW80" s="52">
        <f>F80*AO80</f>
        <v>0</v>
      </c>
      <c r="AX80" s="52">
        <f>F80*AP80</f>
        <v>0</v>
      </c>
      <c r="AY80" s="54" t="s">
        <v>257</v>
      </c>
      <c r="AZ80" s="54" t="s">
        <v>258</v>
      </c>
      <c r="BA80" s="34" t="s">
        <v>202</v>
      </c>
      <c r="BC80" s="52">
        <f>AW80+AX80</f>
        <v>0</v>
      </c>
      <c r="BD80" s="52">
        <f>G80/(100-BE80)*100</f>
        <v>0</v>
      </c>
      <c r="BE80" s="52">
        <v>0</v>
      </c>
      <c r="BF80" s="52">
        <f>80</f>
        <v>80</v>
      </c>
      <c r="BH80" s="52">
        <f>F80*AO80</f>
        <v>0</v>
      </c>
      <c r="BI80" s="52">
        <f>F80*AP80</f>
        <v>0</v>
      </c>
      <c r="BJ80" s="52">
        <f>F80*G80</f>
        <v>0</v>
      </c>
      <c r="BK80" s="52"/>
      <c r="BL80" s="52"/>
      <c r="BW80" s="52">
        <v>21</v>
      </c>
      <c r="BX80" s="3" t="s">
        <v>275</v>
      </c>
    </row>
    <row r="81" spans="1:76" ht="94.5" customHeight="1" x14ac:dyDescent="0.25">
      <c r="A81" s="55"/>
      <c r="B81" s="56" t="s">
        <v>57</v>
      </c>
      <c r="C81" s="138" t="s">
        <v>276</v>
      </c>
      <c r="D81" s="139"/>
      <c r="E81" s="139"/>
      <c r="F81" s="139"/>
      <c r="G81" s="139"/>
      <c r="H81" s="139"/>
      <c r="I81" s="139"/>
      <c r="J81" s="139"/>
      <c r="K81" s="140"/>
    </row>
    <row r="82" spans="1:76" x14ac:dyDescent="0.25">
      <c r="A82" s="1" t="s">
        <v>277</v>
      </c>
      <c r="B82" s="2" t="s">
        <v>274</v>
      </c>
      <c r="C82" s="66" t="s">
        <v>278</v>
      </c>
      <c r="D82" s="67"/>
      <c r="E82" s="2" t="s">
        <v>231</v>
      </c>
      <c r="F82" s="52">
        <v>50</v>
      </c>
      <c r="G82" s="52">
        <v>0</v>
      </c>
      <c r="H82" s="52">
        <f>F82*AO82</f>
        <v>0</v>
      </c>
      <c r="I82" s="52">
        <f>F82*AP82</f>
        <v>0</v>
      </c>
      <c r="J82" s="52">
        <f>F82*G82</f>
        <v>0</v>
      </c>
      <c r="K82" s="53" t="s">
        <v>125</v>
      </c>
      <c r="Z82" s="52">
        <f>IF(AQ82="5",BJ82,0)</f>
        <v>0</v>
      </c>
      <c r="AB82" s="52">
        <f>IF(AQ82="1",BH82,0)</f>
        <v>0</v>
      </c>
      <c r="AC82" s="52">
        <f>IF(AQ82="1",BI82,0)</f>
        <v>0</v>
      </c>
      <c r="AD82" s="52">
        <f>IF(AQ82="7",BH82,0)</f>
        <v>0</v>
      </c>
      <c r="AE82" s="52">
        <f>IF(AQ82="7",BI82,0)</f>
        <v>0</v>
      </c>
      <c r="AF82" s="52">
        <f>IF(AQ82="2",BH82,0)</f>
        <v>0</v>
      </c>
      <c r="AG82" s="52">
        <f>IF(AQ82="2",BI82,0)</f>
        <v>0</v>
      </c>
      <c r="AH82" s="52">
        <f>IF(AQ82="0",BJ82,0)</f>
        <v>0</v>
      </c>
      <c r="AI82" s="34" t="s">
        <v>195</v>
      </c>
      <c r="AJ82" s="52">
        <f>IF(AN82=0,J82,0)</f>
        <v>0</v>
      </c>
      <c r="AK82" s="52">
        <f>IF(AN82=12,J82,0)</f>
        <v>0</v>
      </c>
      <c r="AL82" s="52">
        <f>IF(AN82=21,J82,0)</f>
        <v>0</v>
      </c>
      <c r="AN82" s="52">
        <v>21</v>
      </c>
      <c r="AO82" s="52">
        <f>G82*1</f>
        <v>0</v>
      </c>
      <c r="AP82" s="52">
        <f>G82*(1-1)</f>
        <v>0</v>
      </c>
      <c r="AQ82" s="54" t="s">
        <v>256</v>
      </c>
      <c r="AV82" s="52">
        <f>AW82+AX82</f>
        <v>0</v>
      </c>
      <c r="AW82" s="52">
        <f>F82*AO82</f>
        <v>0</v>
      </c>
      <c r="AX82" s="52">
        <f>F82*AP82</f>
        <v>0</v>
      </c>
      <c r="AY82" s="54" t="s">
        <v>257</v>
      </c>
      <c r="AZ82" s="54" t="s">
        <v>258</v>
      </c>
      <c r="BA82" s="34" t="s">
        <v>202</v>
      </c>
      <c r="BC82" s="52">
        <f>AW82+AX82</f>
        <v>0</v>
      </c>
      <c r="BD82" s="52">
        <f>G82/(100-BE82)*100</f>
        <v>0</v>
      </c>
      <c r="BE82" s="52">
        <v>0</v>
      </c>
      <c r="BF82" s="52">
        <f>82</f>
        <v>82</v>
      </c>
      <c r="BH82" s="52">
        <f>F82*AO82</f>
        <v>0</v>
      </c>
      <c r="BI82" s="52">
        <f>F82*AP82</f>
        <v>0</v>
      </c>
      <c r="BJ82" s="52">
        <f>F82*G82</f>
        <v>0</v>
      </c>
      <c r="BK82" s="52"/>
      <c r="BL82" s="52"/>
      <c r="BW82" s="52">
        <v>21</v>
      </c>
      <c r="BX82" s="3" t="s">
        <v>278</v>
      </c>
    </row>
    <row r="83" spans="1:76" ht="13.5" customHeight="1" x14ac:dyDescent="0.25">
      <c r="A83" s="55"/>
      <c r="B83" s="56" t="s">
        <v>57</v>
      </c>
      <c r="C83" s="138" t="s">
        <v>279</v>
      </c>
      <c r="D83" s="139"/>
      <c r="E83" s="139"/>
      <c r="F83" s="139"/>
      <c r="G83" s="139"/>
      <c r="H83" s="139"/>
      <c r="I83" s="139"/>
      <c r="J83" s="139"/>
      <c r="K83" s="140"/>
    </row>
    <row r="84" spans="1:76" x14ac:dyDescent="0.25">
      <c r="A84" s="1" t="s">
        <v>280</v>
      </c>
      <c r="B84" s="2" t="s">
        <v>281</v>
      </c>
      <c r="C84" s="66" t="s">
        <v>282</v>
      </c>
      <c r="D84" s="67"/>
      <c r="E84" s="2" t="s">
        <v>231</v>
      </c>
      <c r="F84" s="52">
        <v>52</v>
      </c>
      <c r="G84" s="52">
        <v>0</v>
      </c>
      <c r="H84" s="52">
        <f>F84*AO84</f>
        <v>0</v>
      </c>
      <c r="I84" s="52">
        <f>F84*AP84</f>
        <v>0</v>
      </c>
      <c r="J84" s="52">
        <f>F84*G84</f>
        <v>0</v>
      </c>
      <c r="K84" s="53" t="s">
        <v>4</v>
      </c>
      <c r="Z84" s="52">
        <f>IF(AQ84="5",BJ84,0)</f>
        <v>0</v>
      </c>
      <c r="AB84" s="52">
        <f>IF(AQ84="1",BH84,0)</f>
        <v>0</v>
      </c>
      <c r="AC84" s="52">
        <f>IF(AQ84="1",BI84,0)</f>
        <v>0</v>
      </c>
      <c r="AD84" s="52">
        <f>IF(AQ84="7",BH84,0)</f>
        <v>0</v>
      </c>
      <c r="AE84" s="52">
        <f>IF(AQ84="7",BI84,0)</f>
        <v>0</v>
      </c>
      <c r="AF84" s="52">
        <f>IF(AQ84="2",BH84,0)</f>
        <v>0</v>
      </c>
      <c r="AG84" s="52">
        <f>IF(AQ84="2",BI84,0)</f>
        <v>0</v>
      </c>
      <c r="AH84" s="52">
        <f>IF(AQ84="0",BJ84,0)</f>
        <v>0</v>
      </c>
      <c r="AI84" s="34" t="s">
        <v>195</v>
      </c>
      <c r="AJ84" s="52">
        <f>IF(AN84=0,J84,0)</f>
        <v>0</v>
      </c>
      <c r="AK84" s="52">
        <f>IF(AN84=12,J84,0)</f>
        <v>0</v>
      </c>
      <c r="AL84" s="52">
        <f>IF(AN84=21,J84,0)</f>
        <v>0</v>
      </c>
      <c r="AN84" s="52">
        <v>21</v>
      </c>
      <c r="AO84" s="52">
        <f>G84*1</f>
        <v>0</v>
      </c>
      <c r="AP84" s="52">
        <f>G84*(1-1)</f>
        <v>0</v>
      </c>
      <c r="AQ84" s="54" t="s">
        <v>256</v>
      </c>
      <c r="AV84" s="52">
        <f>AW84+AX84</f>
        <v>0</v>
      </c>
      <c r="AW84" s="52">
        <f>F84*AO84</f>
        <v>0</v>
      </c>
      <c r="AX84" s="52">
        <f>F84*AP84</f>
        <v>0</v>
      </c>
      <c r="AY84" s="54" t="s">
        <v>257</v>
      </c>
      <c r="AZ84" s="54" t="s">
        <v>258</v>
      </c>
      <c r="BA84" s="34" t="s">
        <v>202</v>
      </c>
      <c r="BC84" s="52">
        <f>AW84+AX84</f>
        <v>0</v>
      </c>
      <c r="BD84" s="52">
        <f>G84/(100-BE84)*100</f>
        <v>0</v>
      </c>
      <c r="BE84" s="52">
        <v>0</v>
      </c>
      <c r="BF84" s="52">
        <f>84</f>
        <v>84</v>
      </c>
      <c r="BH84" s="52">
        <f>F84*AO84</f>
        <v>0</v>
      </c>
      <c r="BI84" s="52">
        <f>F84*AP84</f>
        <v>0</v>
      </c>
      <c r="BJ84" s="52">
        <f>F84*G84</f>
        <v>0</v>
      </c>
      <c r="BK84" s="52"/>
      <c r="BL84" s="52"/>
      <c r="BW84" s="52">
        <v>21</v>
      </c>
      <c r="BX84" s="3" t="s">
        <v>282</v>
      </c>
    </row>
    <row r="85" spans="1:76" ht="40.5" customHeight="1" x14ac:dyDescent="0.25">
      <c r="A85" s="55"/>
      <c r="B85" s="56" t="s">
        <v>57</v>
      </c>
      <c r="C85" s="138" t="s">
        <v>283</v>
      </c>
      <c r="D85" s="139"/>
      <c r="E85" s="139"/>
      <c r="F85" s="139"/>
      <c r="G85" s="139"/>
      <c r="H85" s="139"/>
      <c r="I85" s="139"/>
      <c r="J85" s="139"/>
      <c r="K85" s="140"/>
    </row>
    <row r="86" spans="1:76" x14ac:dyDescent="0.25">
      <c r="A86" s="1" t="s">
        <v>284</v>
      </c>
      <c r="B86" s="2" t="s">
        <v>285</v>
      </c>
      <c r="C86" s="66" t="s">
        <v>286</v>
      </c>
      <c r="D86" s="67"/>
      <c r="E86" s="2" t="s">
        <v>231</v>
      </c>
      <c r="F86" s="52">
        <v>79</v>
      </c>
      <c r="G86" s="52">
        <v>0</v>
      </c>
      <c r="H86" s="52">
        <f>F86*AO86</f>
        <v>0</v>
      </c>
      <c r="I86" s="52">
        <f>F86*AP86</f>
        <v>0</v>
      </c>
      <c r="J86" s="52">
        <f>F86*G86</f>
        <v>0</v>
      </c>
      <c r="K86" s="53" t="s">
        <v>4</v>
      </c>
      <c r="Z86" s="52">
        <f>IF(AQ86="5",BJ86,0)</f>
        <v>0</v>
      </c>
      <c r="AB86" s="52">
        <f>IF(AQ86="1",BH86,0)</f>
        <v>0</v>
      </c>
      <c r="AC86" s="52">
        <f>IF(AQ86="1",BI86,0)</f>
        <v>0</v>
      </c>
      <c r="AD86" s="52">
        <f>IF(AQ86="7",BH86,0)</f>
        <v>0</v>
      </c>
      <c r="AE86" s="52">
        <f>IF(AQ86="7",BI86,0)</f>
        <v>0</v>
      </c>
      <c r="AF86" s="52">
        <f>IF(AQ86="2",BH86,0)</f>
        <v>0</v>
      </c>
      <c r="AG86" s="52">
        <f>IF(AQ86="2",BI86,0)</f>
        <v>0</v>
      </c>
      <c r="AH86" s="52">
        <f>IF(AQ86="0",BJ86,0)</f>
        <v>0</v>
      </c>
      <c r="AI86" s="34" t="s">
        <v>195</v>
      </c>
      <c r="AJ86" s="52">
        <f>IF(AN86=0,J86,0)</f>
        <v>0</v>
      </c>
      <c r="AK86" s="52">
        <f>IF(AN86=12,J86,0)</f>
        <v>0</v>
      </c>
      <c r="AL86" s="52">
        <f>IF(AN86=21,J86,0)</f>
        <v>0</v>
      </c>
      <c r="AN86" s="52">
        <v>21</v>
      </c>
      <c r="AO86" s="52">
        <f>G86*1</f>
        <v>0</v>
      </c>
      <c r="AP86" s="52">
        <f>G86*(1-1)</f>
        <v>0</v>
      </c>
      <c r="AQ86" s="54" t="s">
        <v>256</v>
      </c>
      <c r="AV86" s="52">
        <f>AW86+AX86</f>
        <v>0</v>
      </c>
      <c r="AW86" s="52">
        <f>F86*AO86</f>
        <v>0</v>
      </c>
      <c r="AX86" s="52">
        <f>F86*AP86</f>
        <v>0</v>
      </c>
      <c r="AY86" s="54" t="s">
        <v>257</v>
      </c>
      <c r="AZ86" s="54" t="s">
        <v>258</v>
      </c>
      <c r="BA86" s="34" t="s">
        <v>202</v>
      </c>
      <c r="BC86" s="52">
        <f>AW86+AX86</f>
        <v>0</v>
      </c>
      <c r="BD86" s="52">
        <f>G86/(100-BE86)*100</f>
        <v>0</v>
      </c>
      <c r="BE86" s="52">
        <v>0</v>
      </c>
      <c r="BF86" s="52">
        <f>86</f>
        <v>86</v>
      </c>
      <c r="BH86" s="52">
        <f>F86*AO86</f>
        <v>0</v>
      </c>
      <c r="BI86" s="52">
        <f>F86*AP86</f>
        <v>0</v>
      </c>
      <c r="BJ86" s="52">
        <f>F86*G86</f>
        <v>0</v>
      </c>
      <c r="BK86" s="52"/>
      <c r="BL86" s="52"/>
      <c r="BW86" s="52">
        <v>21</v>
      </c>
      <c r="BX86" s="3" t="s">
        <v>286</v>
      </c>
    </row>
    <row r="87" spans="1:76" ht="202.5" customHeight="1" x14ac:dyDescent="0.25">
      <c r="A87" s="55"/>
      <c r="B87" s="56" t="s">
        <v>57</v>
      </c>
      <c r="C87" s="138" t="s">
        <v>287</v>
      </c>
      <c r="D87" s="139"/>
      <c r="E87" s="139"/>
      <c r="F87" s="139"/>
      <c r="G87" s="139"/>
      <c r="H87" s="139"/>
      <c r="I87" s="139"/>
      <c r="J87" s="139"/>
      <c r="K87" s="140"/>
    </row>
    <row r="88" spans="1:76" x14ac:dyDescent="0.25">
      <c r="A88" s="1" t="s">
        <v>288</v>
      </c>
      <c r="B88" s="2" t="s">
        <v>289</v>
      </c>
      <c r="C88" s="66" t="s">
        <v>290</v>
      </c>
      <c r="D88" s="67"/>
      <c r="E88" s="2" t="s">
        <v>231</v>
      </c>
      <c r="F88" s="52">
        <v>237</v>
      </c>
      <c r="G88" s="52">
        <v>0</v>
      </c>
      <c r="H88" s="52">
        <f>F88*AO88</f>
        <v>0</v>
      </c>
      <c r="I88" s="52">
        <f>F88*AP88</f>
        <v>0</v>
      </c>
      <c r="J88" s="52">
        <f>F88*G88</f>
        <v>0</v>
      </c>
      <c r="K88" s="53" t="s">
        <v>4</v>
      </c>
      <c r="Z88" s="52">
        <f>IF(AQ88="5",BJ88,0)</f>
        <v>0</v>
      </c>
      <c r="AB88" s="52">
        <f>IF(AQ88="1",BH88,0)</f>
        <v>0</v>
      </c>
      <c r="AC88" s="52">
        <f>IF(AQ88="1",BI88,0)</f>
        <v>0</v>
      </c>
      <c r="AD88" s="52">
        <f>IF(AQ88="7",BH88,0)</f>
        <v>0</v>
      </c>
      <c r="AE88" s="52">
        <f>IF(AQ88="7",BI88,0)</f>
        <v>0</v>
      </c>
      <c r="AF88" s="52">
        <f>IF(AQ88="2",BH88,0)</f>
        <v>0</v>
      </c>
      <c r="AG88" s="52">
        <f>IF(AQ88="2",BI88,0)</f>
        <v>0</v>
      </c>
      <c r="AH88" s="52">
        <f>IF(AQ88="0",BJ88,0)</f>
        <v>0</v>
      </c>
      <c r="AI88" s="34" t="s">
        <v>195</v>
      </c>
      <c r="AJ88" s="52">
        <f>IF(AN88=0,J88,0)</f>
        <v>0</v>
      </c>
      <c r="AK88" s="52">
        <f>IF(AN88=12,J88,0)</f>
        <v>0</v>
      </c>
      <c r="AL88" s="52">
        <f>IF(AN88=21,J88,0)</f>
        <v>0</v>
      </c>
      <c r="AN88" s="52">
        <v>21</v>
      </c>
      <c r="AO88" s="52">
        <f>G88*1</f>
        <v>0</v>
      </c>
      <c r="AP88" s="52">
        <f>G88*(1-1)</f>
        <v>0</v>
      </c>
      <c r="AQ88" s="54" t="s">
        <v>256</v>
      </c>
      <c r="AV88" s="52">
        <f>AW88+AX88</f>
        <v>0</v>
      </c>
      <c r="AW88" s="52">
        <f>F88*AO88</f>
        <v>0</v>
      </c>
      <c r="AX88" s="52">
        <f>F88*AP88</f>
        <v>0</v>
      </c>
      <c r="AY88" s="54" t="s">
        <v>257</v>
      </c>
      <c r="AZ88" s="54" t="s">
        <v>258</v>
      </c>
      <c r="BA88" s="34" t="s">
        <v>202</v>
      </c>
      <c r="BC88" s="52">
        <f>AW88+AX88</f>
        <v>0</v>
      </c>
      <c r="BD88" s="52">
        <f>G88/(100-BE88)*100</f>
        <v>0</v>
      </c>
      <c r="BE88" s="52">
        <v>0</v>
      </c>
      <c r="BF88" s="52">
        <f>88</f>
        <v>88</v>
      </c>
      <c r="BH88" s="52">
        <f>F88*AO88</f>
        <v>0</v>
      </c>
      <c r="BI88" s="52">
        <f>F88*AP88</f>
        <v>0</v>
      </c>
      <c r="BJ88" s="52">
        <f>F88*G88</f>
        <v>0</v>
      </c>
      <c r="BK88" s="52"/>
      <c r="BL88" s="52"/>
      <c r="BW88" s="52">
        <v>21</v>
      </c>
      <c r="BX88" s="3" t="s">
        <v>290</v>
      </c>
    </row>
    <row r="89" spans="1:76" ht="25.5" x14ac:dyDescent="0.25">
      <c r="A89" s="1" t="s">
        <v>291</v>
      </c>
      <c r="B89" s="2" t="s">
        <v>292</v>
      </c>
      <c r="C89" s="66" t="s">
        <v>293</v>
      </c>
      <c r="D89" s="67"/>
      <c r="E89" s="2" t="s">
        <v>231</v>
      </c>
      <c r="F89" s="52">
        <v>375</v>
      </c>
      <c r="G89" s="52">
        <v>0</v>
      </c>
      <c r="H89" s="52">
        <f>F89*AO89</f>
        <v>0</v>
      </c>
      <c r="I89" s="52">
        <f>F89*AP89</f>
        <v>0</v>
      </c>
      <c r="J89" s="52">
        <f>F89*G89</f>
        <v>0</v>
      </c>
      <c r="K89" s="53" t="s">
        <v>4</v>
      </c>
      <c r="Z89" s="52">
        <f>IF(AQ89="5",BJ89,0)</f>
        <v>0</v>
      </c>
      <c r="AB89" s="52">
        <f>IF(AQ89="1",BH89,0)</f>
        <v>0</v>
      </c>
      <c r="AC89" s="52">
        <f>IF(AQ89="1",BI89,0)</f>
        <v>0</v>
      </c>
      <c r="AD89" s="52">
        <f>IF(AQ89="7",BH89,0)</f>
        <v>0</v>
      </c>
      <c r="AE89" s="52">
        <f>IF(AQ89="7",BI89,0)</f>
        <v>0</v>
      </c>
      <c r="AF89" s="52">
        <f>IF(AQ89="2",BH89,0)</f>
        <v>0</v>
      </c>
      <c r="AG89" s="52">
        <f>IF(AQ89="2",BI89,0)</f>
        <v>0</v>
      </c>
      <c r="AH89" s="52">
        <f>IF(AQ89="0",BJ89,0)</f>
        <v>0</v>
      </c>
      <c r="AI89" s="34" t="s">
        <v>195</v>
      </c>
      <c r="AJ89" s="52">
        <f>IF(AN89=0,J89,0)</f>
        <v>0</v>
      </c>
      <c r="AK89" s="52">
        <f>IF(AN89=12,J89,0)</f>
        <v>0</v>
      </c>
      <c r="AL89" s="52">
        <f>IF(AN89=21,J89,0)</f>
        <v>0</v>
      </c>
      <c r="AN89" s="52">
        <v>21</v>
      </c>
      <c r="AO89" s="52">
        <f>G89*1</f>
        <v>0</v>
      </c>
      <c r="AP89" s="52">
        <f>G89*(1-1)</f>
        <v>0</v>
      </c>
      <c r="AQ89" s="54" t="s">
        <v>256</v>
      </c>
      <c r="AV89" s="52">
        <f>AW89+AX89</f>
        <v>0</v>
      </c>
      <c r="AW89" s="52">
        <f>F89*AO89</f>
        <v>0</v>
      </c>
      <c r="AX89" s="52">
        <f>F89*AP89</f>
        <v>0</v>
      </c>
      <c r="AY89" s="54" t="s">
        <v>257</v>
      </c>
      <c r="AZ89" s="54" t="s">
        <v>258</v>
      </c>
      <c r="BA89" s="34" t="s">
        <v>202</v>
      </c>
      <c r="BC89" s="52">
        <f>AW89+AX89</f>
        <v>0</v>
      </c>
      <c r="BD89" s="52">
        <f>G89/(100-BE89)*100</f>
        <v>0</v>
      </c>
      <c r="BE89" s="52">
        <v>0</v>
      </c>
      <c r="BF89" s="52">
        <f>89</f>
        <v>89</v>
      </c>
      <c r="BH89" s="52">
        <f>F89*AO89</f>
        <v>0</v>
      </c>
      <c r="BI89" s="52">
        <f>F89*AP89</f>
        <v>0</v>
      </c>
      <c r="BJ89" s="52">
        <f>F89*G89</f>
        <v>0</v>
      </c>
      <c r="BK89" s="52"/>
      <c r="BL89" s="52"/>
      <c r="BW89" s="52">
        <v>21</v>
      </c>
      <c r="BX89" s="3" t="s">
        <v>293</v>
      </c>
    </row>
    <row r="90" spans="1:76" x14ac:dyDescent="0.25">
      <c r="A90" s="1" t="s">
        <v>294</v>
      </c>
      <c r="B90" s="2" t="s">
        <v>295</v>
      </c>
      <c r="C90" s="66" t="s">
        <v>296</v>
      </c>
      <c r="D90" s="67"/>
      <c r="E90" s="2" t="s">
        <v>231</v>
      </c>
      <c r="F90" s="52">
        <v>375</v>
      </c>
      <c r="G90" s="52">
        <v>0</v>
      </c>
      <c r="H90" s="52">
        <f>F90*AO90</f>
        <v>0</v>
      </c>
      <c r="I90" s="52">
        <f>F90*AP90</f>
        <v>0</v>
      </c>
      <c r="J90" s="52">
        <f>F90*G90</f>
        <v>0</v>
      </c>
      <c r="K90" s="53" t="s">
        <v>4</v>
      </c>
      <c r="Z90" s="52">
        <f>IF(AQ90="5",BJ90,0)</f>
        <v>0</v>
      </c>
      <c r="AB90" s="52">
        <f>IF(AQ90="1",BH90,0)</f>
        <v>0</v>
      </c>
      <c r="AC90" s="52">
        <f>IF(AQ90="1",BI90,0)</f>
        <v>0</v>
      </c>
      <c r="AD90" s="52">
        <f>IF(AQ90="7",BH90,0)</f>
        <v>0</v>
      </c>
      <c r="AE90" s="52">
        <f>IF(AQ90="7",BI90,0)</f>
        <v>0</v>
      </c>
      <c r="AF90" s="52">
        <f>IF(AQ90="2",BH90,0)</f>
        <v>0</v>
      </c>
      <c r="AG90" s="52">
        <f>IF(AQ90="2",BI90,0)</f>
        <v>0</v>
      </c>
      <c r="AH90" s="52">
        <f>IF(AQ90="0",BJ90,0)</f>
        <v>0</v>
      </c>
      <c r="AI90" s="34" t="s">
        <v>195</v>
      </c>
      <c r="AJ90" s="52">
        <f>IF(AN90=0,J90,0)</f>
        <v>0</v>
      </c>
      <c r="AK90" s="52">
        <f>IF(AN90=12,J90,0)</f>
        <v>0</v>
      </c>
      <c r="AL90" s="52">
        <f>IF(AN90=21,J90,0)</f>
        <v>0</v>
      </c>
      <c r="AN90" s="52">
        <v>21</v>
      </c>
      <c r="AO90" s="52">
        <f>G90*1</f>
        <v>0</v>
      </c>
      <c r="AP90" s="52">
        <f>G90*(1-1)</f>
        <v>0</v>
      </c>
      <c r="AQ90" s="54" t="s">
        <v>256</v>
      </c>
      <c r="AV90" s="52">
        <f>AW90+AX90</f>
        <v>0</v>
      </c>
      <c r="AW90" s="52">
        <f>F90*AO90</f>
        <v>0</v>
      </c>
      <c r="AX90" s="52">
        <f>F90*AP90</f>
        <v>0</v>
      </c>
      <c r="AY90" s="54" t="s">
        <v>257</v>
      </c>
      <c r="AZ90" s="54" t="s">
        <v>258</v>
      </c>
      <c r="BA90" s="34" t="s">
        <v>202</v>
      </c>
      <c r="BC90" s="52">
        <f>AW90+AX90</f>
        <v>0</v>
      </c>
      <c r="BD90" s="52">
        <f>G90/(100-BE90)*100</f>
        <v>0</v>
      </c>
      <c r="BE90" s="52">
        <v>0</v>
      </c>
      <c r="BF90" s="52">
        <f>90</f>
        <v>90</v>
      </c>
      <c r="BH90" s="52">
        <f>F90*AO90</f>
        <v>0</v>
      </c>
      <c r="BI90" s="52">
        <f>F90*AP90</f>
        <v>0</v>
      </c>
      <c r="BJ90" s="52">
        <f>F90*G90</f>
        <v>0</v>
      </c>
      <c r="BK90" s="52"/>
      <c r="BL90" s="52"/>
      <c r="BW90" s="52">
        <v>21</v>
      </c>
      <c r="BX90" s="3" t="s">
        <v>296</v>
      </c>
    </row>
    <row r="91" spans="1:76" ht="25.5" x14ac:dyDescent="0.25">
      <c r="A91" s="1" t="s">
        <v>297</v>
      </c>
      <c r="B91" s="2" t="s">
        <v>298</v>
      </c>
      <c r="C91" s="66" t="s">
        <v>299</v>
      </c>
      <c r="D91" s="67"/>
      <c r="E91" s="2" t="s">
        <v>300</v>
      </c>
      <c r="F91" s="52">
        <v>264.5</v>
      </c>
      <c r="G91" s="52">
        <v>0</v>
      </c>
      <c r="H91" s="52">
        <f>F91*AO91</f>
        <v>0</v>
      </c>
      <c r="I91" s="52">
        <f>F91*AP91</f>
        <v>0</v>
      </c>
      <c r="J91" s="52">
        <f>F91*G91</f>
        <v>0</v>
      </c>
      <c r="K91" s="53" t="s">
        <v>4</v>
      </c>
      <c r="Z91" s="52">
        <f>IF(AQ91="5",BJ91,0)</f>
        <v>0</v>
      </c>
      <c r="AB91" s="52">
        <f>IF(AQ91="1",BH91,0)</f>
        <v>0</v>
      </c>
      <c r="AC91" s="52">
        <f>IF(AQ91="1",BI91,0)</f>
        <v>0</v>
      </c>
      <c r="AD91" s="52">
        <f>IF(AQ91="7",BH91,0)</f>
        <v>0</v>
      </c>
      <c r="AE91" s="52">
        <f>IF(AQ91="7",BI91,0)</f>
        <v>0</v>
      </c>
      <c r="AF91" s="52">
        <f>IF(AQ91="2",BH91,0)</f>
        <v>0</v>
      </c>
      <c r="AG91" s="52">
        <f>IF(AQ91="2",BI91,0)</f>
        <v>0</v>
      </c>
      <c r="AH91" s="52">
        <f>IF(AQ91="0",BJ91,0)</f>
        <v>0</v>
      </c>
      <c r="AI91" s="34" t="s">
        <v>195</v>
      </c>
      <c r="AJ91" s="52">
        <f>IF(AN91=0,J91,0)</f>
        <v>0</v>
      </c>
      <c r="AK91" s="52">
        <f>IF(AN91=12,J91,0)</f>
        <v>0</v>
      </c>
      <c r="AL91" s="52">
        <f>IF(AN91=21,J91,0)</f>
        <v>0</v>
      </c>
      <c r="AN91" s="52">
        <v>21</v>
      </c>
      <c r="AO91" s="52">
        <f>G91*1</f>
        <v>0</v>
      </c>
      <c r="AP91" s="52">
        <f>G91*(1-1)</f>
        <v>0</v>
      </c>
      <c r="AQ91" s="54" t="s">
        <v>256</v>
      </c>
      <c r="AV91" s="52">
        <f>AW91+AX91</f>
        <v>0</v>
      </c>
      <c r="AW91" s="52">
        <f>F91*AO91</f>
        <v>0</v>
      </c>
      <c r="AX91" s="52">
        <f>F91*AP91</f>
        <v>0</v>
      </c>
      <c r="AY91" s="54" t="s">
        <v>257</v>
      </c>
      <c r="AZ91" s="54" t="s">
        <v>258</v>
      </c>
      <c r="BA91" s="34" t="s">
        <v>202</v>
      </c>
      <c r="BC91" s="52">
        <f>AW91+AX91</f>
        <v>0</v>
      </c>
      <c r="BD91" s="52">
        <f>G91/(100-BE91)*100</f>
        <v>0</v>
      </c>
      <c r="BE91" s="52">
        <v>0</v>
      </c>
      <c r="BF91" s="52">
        <f>91</f>
        <v>91</v>
      </c>
      <c r="BH91" s="52">
        <f>F91*AO91</f>
        <v>0</v>
      </c>
      <c r="BI91" s="52">
        <f>F91*AP91</f>
        <v>0</v>
      </c>
      <c r="BJ91" s="52">
        <f>F91*G91</f>
        <v>0</v>
      </c>
      <c r="BK91" s="52"/>
      <c r="BL91" s="52"/>
      <c r="BW91" s="52">
        <v>21</v>
      </c>
      <c r="BX91" s="3" t="s">
        <v>299</v>
      </c>
    </row>
    <row r="92" spans="1:76" x14ac:dyDescent="0.25">
      <c r="A92" s="1" t="s">
        <v>301</v>
      </c>
      <c r="B92" s="2" t="s">
        <v>302</v>
      </c>
      <c r="C92" s="66" t="s">
        <v>303</v>
      </c>
      <c r="D92" s="67"/>
      <c r="E92" s="2" t="s">
        <v>129</v>
      </c>
      <c r="F92" s="52">
        <v>22.8</v>
      </c>
      <c r="G92" s="52">
        <v>0</v>
      </c>
      <c r="H92" s="52">
        <f>F92*AO92</f>
        <v>0</v>
      </c>
      <c r="I92" s="52">
        <f>F92*AP92</f>
        <v>0</v>
      </c>
      <c r="J92" s="52">
        <f>F92*G92</f>
        <v>0</v>
      </c>
      <c r="K92" s="53" t="s">
        <v>125</v>
      </c>
      <c r="Z92" s="52">
        <f>IF(AQ92="5",BJ92,0)</f>
        <v>0</v>
      </c>
      <c r="AB92" s="52">
        <f>IF(AQ92="1",BH92,0)</f>
        <v>0</v>
      </c>
      <c r="AC92" s="52">
        <f>IF(AQ92="1",BI92,0)</f>
        <v>0</v>
      </c>
      <c r="AD92" s="52">
        <f>IF(AQ92="7",BH92,0)</f>
        <v>0</v>
      </c>
      <c r="AE92" s="52">
        <f>IF(AQ92="7",BI92,0)</f>
        <v>0</v>
      </c>
      <c r="AF92" s="52">
        <f>IF(AQ92="2",BH92,0)</f>
        <v>0</v>
      </c>
      <c r="AG92" s="52">
        <f>IF(AQ92="2",BI92,0)</f>
        <v>0</v>
      </c>
      <c r="AH92" s="52">
        <f>IF(AQ92="0",BJ92,0)</f>
        <v>0</v>
      </c>
      <c r="AI92" s="34" t="s">
        <v>195</v>
      </c>
      <c r="AJ92" s="52">
        <f>IF(AN92=0,J92,0)</f>
        <v>0</v>
      </c>
      <c r="AK92" s="52">
        <f>IF(AN92=12,J92,0)</f>
        <v>0</v>
      </c>
      <c r="AL92" s="52">
        <f>IF(AN92=21,J92,0)</f>
        <v>0</v>
      </c>
      <c r="AN92" s="52">
        <v>21</v>
      </c>
      <c r="AO92" s="52">
        <f>G92*1</f>
        <v>0</v>
      </c>
      <c r="AP92" s="52">
        <f>G92*(1-1)</f>
        <v>0</v>
      </c>
      <c r="AQ92" s="54" t="s">
        <v>256</v>
      </c>
      <c r="AV92" s="52">
        <f>AW92+AX92</f>
        <v>0</v>
      </c>
      <c r="AW92" s="52">
        <f>F92*AO92</f>
        <v>0</v>
      </c>
      <c r="AX92" s="52">
        <f>F92*AP92</f>
        <v>0</v>
      </c>
      <c r="AY92" s="54" t="s">
        <v>257</v>
      </c>
      <c r="AZ92" s="54" t="s">
        <v>258</v>
      </c>
      <c r="BA92" s="34" t="s">
        <v>202</v>
      </c>
      <c r="BC92" s="52">
        <f>AW92+AX92</f>
        <v>0</v>
      </c>
      <c r="BD92" s="52">
        <f>G92/(100-BE92)*100</f>
        <v>0</v>
      </c>
      <c r="BE92" s="52">
        <v>0</v>
      </c>
      <c r="BF92" s="52">
        <f>92</f>
        <v>92</v>
      </c>
      <c r="BH92" s="52">
        <f>F92*AO92</f>
        <v>0</v>
      </c>
      <c r="BI92" s="52">
        <f>F92*AP92</f>
        <v>0</v>
      </c>
      <c r="BJ92" s="52">
        <f>F92*G92</f>
        <v>0</v>
      </c>
      <c r="BK92" s="52"/>
      <c r="BL92" s="52"/>
      <c r="BW92" s="52">
        <v>21</v>
      </c>
      <c r="BX92" s="3" t="s">
        <v>303</v>
      </c>
    </row>
    <row r="93" spans="1:76" x14ac:dyDescent="0.25">
      <c r="A93" s="57" t="s">
        <v>4</v>
      </c>
      <c r="B93" s="58" t="s">
        <v>4</v>
      </c>
      <c r="C93" s="141" t="s">
        <v>304</v>
      </c>
      <c r="D93" s="142"/>
      <c r="E93" s="59" t="s">
        <v>73</v>
      </c>
      <c r="F93" s="59" t="s">
        <v>73</v>
      </c>
      <c r="G93" s="59" t="s">
        <v>73</v>
      </c>
      <c r="H93" s="60">
        <f>H94+H102+H104</f>
        <v>0</v>
      </c>
      <c r="I93" s="60">
        <f>I94+I102+I104</f>
        <v>0</v>
      </c>
      <c r="J93" s="60">
        <f>J94+J102+J104</f>
        <v>0</v>
      </c>
      <c r="K93" s="61" t="s">
        <v>4</v>
      </c>
    </row>
    <row r="94" spans="1:76" x14ac:dyDescent="0.25">
      <c r="A94" s="48" t="s">
        <v>4</v>
      </c>
      <c r="B94" s="49" t="s">
        <v>182</v>
      </c>
      <c r="C94" s="143" t="s">
        <v>203</v>
      </c>
      <c r="D94" s="144"/>
      <c r="E94" s="50" t="s">
        <v>73</v>
      </c>
      <c r="F94" s="50" t="s">
        <v>73</v>
      </c>
      <c r="G94" s="50" t="s">
        <v>73</v>
      </c>
      <c r="H94" s="28">
        <f>SUM(H95:H101)</f>
        <v>0</v>
      </c>
      <c r="I94" s="28">
        <f>SUM(I95:I101)</f>
        <v>0</v>
      </c>
      <c r="J94" s="28">
        <f>SUM(J95:J101)</f>
        <v>0</v>
      </c>
      <c r="K94" s="51" t="s">
        <v>4</v>
      </c>
      <c r="AI94" s="34" t="s">
        <v>305</v>
      </c>
      <c r="AS94" s="28">
        <f>SUM(AJ95:AJ101)</f>
        <v>0</v>
      </c>
      <c r="AT94" s="28">
        <f>SUM(AK95:AK101)</f>
        <v>0</v>
      </c>
      <c r="AU94" s="28">
        <f>SUM(AL95:AL101)</f>
        <v>0</v>
      </c>
    </row>
    <row r="95" spans="1:76" x14ac:dyDescent="0.25">
      <c r="A95" s="1" t="s">
        <v>306</v>
      </c>
      <c r="B95" s="2" t="s">
        <v>307</v>
      </c>
      <c r="C95" s="66" t="s">
        <v>308</v>
      </c>
      <c r="D95" s="67"/>
      <c r="E95" s="2" t="s">
        <v>117</v>
      </c>
      <c r="F95" s="52">
        <v>990</v>
      </c>
      <c r="G95" s="52">
        <v>0</v>
      </c>
      <c r="H95" s="52">
        <f t="shared" ref="H95:H101" si="46">F95*AO95</f>
        <v>0</v>
      </c>
      <c r="I95" s="52">
        <f t="shared" ref="I95:I101" si="47">F95*AP95</f>
        <v>0</v>
      </c>
      <c r="J95" s="52">
        <f t="shared" ref="J95:J101" si="48">F95*G95</f>
        <v>0</v>
      </c>
      <c r="K95" s="53" t="s">
        <v>125</v>
      </c>
      <c r="Z95" s="52">
        <f t="shared" ref="Z95:Z101" si="49">IF(AQ95="5",BJ95,0)</f>
        <v>0</v>
      </c>
      <c r="AB95" s="52">
        <f t="shared" ref="AB95:AB101" si="50">IF(AQ95="1",BH95,0)</f>
        <v>0</v>
      </c>
      <c r="AC95" s="52">
        <f t="shared" ref="AC95:AC101" si="51">IF(AQ95="1",BI95,0)</f>
        <v>0</v>
      </c>
      <c r="AD95" s="52">
        <f t="shared" ref="AD95:AD101" si="52">IF(AQ95="7",BH95,0)</f>
        <v>0</v>
      </c>
      <c r="AE95" s="52">
        <f t="shared" ref="AE95:AE101" si="53">IF(AQ95="7",BI95,0)</f>
        <v>0</v>
      </c>
      <c r="AF95" s="52">
        <f t="shared" ref="AF95:AF101" si="54">IF(AQ95="2",BH95,0)</f>
        <v>0</v>
      </c>
      <c r="AG95" s="52">
        <f t="shared" ref="AG95:AG101" si="55">IF(AQ95="2",BI95,0)</f>
        <v>0</v>
      </c>
      <c r="AH95" s="52">
        <f t="shared" ref="AH95:AH101" si="56">IF(AQ95="0",BJ95,0)</f>
        <v>0</v>
      </c>
      <c r="AI95" s="34" t="s">
        <v>305</v>
      </c>
      <c r="AJ95" s="52">
        <f t="shared" ref="AJ95:AJ101" si="57">IF(AN95=0,J95,0)</f>
        <v>0</v>
      </c>
      <c r="AK95" s="52">
        <f t="shared" ref="AK95:AK101" si="58">IF(AN95=12,J95,0)</f>
        <v>0</v>
      </c>
      <c r="AL95" s="52">
        <f t="shared" ref="AL95:AL101" si="59">IF(AN95=21,J95,0)</f>
        <v>0</v>
      </c>
      <c r="AN95" s="52">
        <v>21</v>
      </c>
      <c r="AO95" s="52">
        <f>G95*0.005671078</f>
        <v>0</v>
      </c>
      <c r="AP95" s="52">
        <f>G95*(1-0.005671078)</f>
        <v>0</v>
      </c>
      <c r="AQ95" s="54" t="s">
        <v>114</v>
      </c>
      <c r="AV95" s="52">
        <f t="shared" ref="AV95:AV101" si="60">AW95+AX95</f>
        <v>0</v>
      </c>
      <c r="AW95" s="52">
        <f t="shared" ref="AW95:AW101" si="61">F95*AO95</f>
        <v>0</v>
      </c>
      <c r="AX95" s="52">
        <f t="shared" ref="AX95:AX101" si="62">F95*AP95</f>
        <v>0</v>
      </c>
      <c r="AY95" s="54" t="s">
        <v>207</v>
      </c>
      <c r="AZ95" s="54" t="s">
        <v>309</v>
      </c>
      <c r="BA95" s="34" t="s">
        <v>310</v>
      </c>
      <c r="BC95" s="52">
        <f t="shared" ref="BC95:BC101" si="63">AW95+AX95</f>
        <v>0</v>
      </c>
      <c r="BD95" s="52">
        <f t="shared" ref="BD95:BD101" si="64">G95/(100-BE95)*100</f>
        <v>0</v>
      </c>
      <c r="BE95" s="52">
        <v>0</v>
      </c>
      <c r="BF95" s="52">
        <f>95</f>
        <v>95</v>
      </c>
      <c r="BH95" s="52">
        <f t="shared" ref="BH95:BH101" si="65">F95*AO95</f>
        <v>0</v>
      </c>
      <c r="BI95" s="52">
        <f t="shared" ref="BI95:BI101" si="66">F95*AP95</f>
        <v>0</v>
      </c>
      <c r="BJ95" s="52">
        <f t="shared" ref="BJ95:BJ101" si="67">F95*G95</f>
        <v>0</v>
      </c>
      <c r="BK95" s="52"/>
      <c r="BL95" s="52">
        <v>18</v>
      </c>
      <c r="BW95" s="52">
        <v>21</v>
      </c>
      <c r="BX95" s="3" t="s">
        <v>308</v>
      </c>
    </row>
    <row r="96" spans="1:76" x14ac:dyDescent="0.25">
      <c r="A96" s="1" t="s">
        <v>311</v>
      </c>
      <c r="B96" s="2" t="s">
        <v>312</v>
      </c>
      <c r="C96" s="66" t="s">
        <v>313</v>
      </c>
      <c r="D96" s="67"/>
      <c r="E96" s="2" t="s">
        <v>117</v>
      </c>
      <c r="F96" s="52">
        <v>990</v>
      </c>
      <c r="G96" s="52">
        <v>0</v>
      </c>
      <c r="H96" s="52">
        <f t="shared" si="46"/>
        <v>0</v>
      </c>
      <c r="I96" s="52">
        <f t="shared" si="47"/>
        <v>0</v>
      </c>
      <c r="J96" s="52">
        <f t="shared" si="48"/>
        <v>0</v>
      </c>
      <c r="K96" s="53" t="s">
        <v>125</v>
      </c>
      <c r="Z96" s="52">
        <f t="shared" si="49"/>
        <v>0</v>
      </c>
      <c r="AB96" s="52">
        <f t="shared" si="50"/>
        <v>0</v>
      </c>
      <c r="AC96" s="52">
        <f t="shared" si="51"/>
        <v>0</v>
      </c>
      <c r="AD96" s="52">
        <f t="shared" si="52"/>
        <v>0</v>
      </c>
      <c r="AE96" s="52">
        <f t="shared" si="53"/>
        <v>0</v>
      </c>
      <c r="AF96" s="52">
        <f t="shared" si="54"/>
        <v>0</v>
      </c>
      <c r="AG96" s="52">
        <f t="shared" si="55"/>
        <v>0</v>
      </c>
      <c r="AH96" s="52">
        <f t="shared" si="56"/>
        <v>0</v>
      </c>
      <c r="AI96" s="34" t="s">
        <v>305</v>
      </c>
      <c r="AJ96" s="52">
        <f t="shared" si="57"/>
        <v>0</v>
      </c>
      <c r="AK96" s="52">
        <f t="shared" si="58"/>
        <v>0</v>
      </c>
      <c r="AL96" s="52">
        <f t="shared" si="59"/>
        <v>0</v>
      </c>
      <c r="AN96" s="52">
        <v>21</v>
      </c>
      <c r="AO96" s="52">
        <f>G96*0</f>
        <v>0</v>
      </c>
      <c r="AP96" s="52">
        <f>G96*(1-0)</f>
        <v>0</v>
      </c>
      <c r="AQ96" s="54" t="s">
        <v>114</v>
      </c>
      <c r="AV96" s="52">
        <f t="shared" si="60"/>
        <v>0</v>
      </c>
      <c r="AW96" s="52">
        <f t="shared" si="61"/>
        <v>0</v>
      </c>
      <c r="AX96" s="52">
        <f t="shared" si="62"/>
        <v>0</v>
      </c>
      <c r="AY96" s="54" t="s">
        <v>207</v>
      </c>
      <c r="AZ96" s="54" t="s">
        <v>309</v>
      </c>
      <c r="BA96" s="34" t="s">
        <v>310</v>
      </c>
      <c r="BC96" s="52">
        <f t="shared" si="63"/>
        <v>0</v>
      </c>
      <c r="BD96" s="52">
        <f t="shared" si="64"/>
        <v>0</v>
      </c>
      <c r="BE96" s="52">
        <v>0</v>
      </c>
      <c r="BF96" s="52">
        <f>96</f>
        <v>96</v>
      </c>
      <c r="BH96" s="52">
        <f t="shared" si="65"/>
        <v>0</v>
      </c>
      <c r="BI96" s="52">
        <f t="shared" si="66"/>
        <v>0</v>
      </c>
      <c r="BJ96" s="52">
        <f t="shared" si="67"/>
        <v>0</v>
      </c>
      <c r="BK96" s="52"/>
      <c r="BL96" s="52">
        <v>18</v>
      </c>
      <c r="BW96" s="52">
        <v>21</v>
      </c>
      <c r="BX96" s="3" t="s">
        <v>313</v>
      </c>
    </row>
    <row r="97" spans="1:76" x14ac:dyDescent="0.25">
      <c r="A97" s="1" t="s">
        <v>314</v>
      </c>
      <c r="B97" s="2" t="s">
        <v>315</v>
      </c>
      <c r="C97" s="66" t="s">
        <v>316</v>
      </c>
      <c r="D97" s="67"/>
      <c r="E97" s="2" t="s">
        <v>138</v>
      </c>
      <c r="F97" s="52">
        <v>1344</v>
      </c>
      <c r="G97" s="52">
        <v>0</v>
      </c>
      <c r="H97" s="52">
        <f t="shared" si="46"/>
        <v>0</v>
      </c>
      <c r="I97" s="52">
        <f t="shared" si="47"/>
        <v>0</v>
      </c>
      <c r="J97" s="52">
        <f t="shared" si="48"/>
        <v>0</v>
      </c>
      <c r="K97" s="53" t="s">
        <v>125</v>
      </c>
      <c r="Z97" s="52">
        <f t="shared" si="49"/>
        <v>0</v>
      </c>
      <c r="AB97" s="52">
        <f t="shared" si="50"/>
        <v>0</v>
      </c>
      <c r="AC97" s="52">
        <f t="shared" si="51"/>
        <v>0</v>
      </c>
      <c r="AD97" s="52">
        <f t="shared" si="52"/>
        <v>0</v>
      </c>
      <c r="AE97" s="52">
        <f t="shared" si="53"/>
        <v>0</v>
      </c>
      <c r="AF97" s="52">
        <f t="shared" si="54"/>
        <v>0</v>
      </c>
      <c r="AG97" s="52">
        <f t="shared" si="55"/>
        <v>0</v>
      </c>
      <c r="AH97" s="52">
        <f t="shared" si="56"/>
        <v>0</v>
      </c>
      <c r="AI97" s="34" t="s">
        <v>305</v>
      </c>
      <c r="AJ97" s="52">
        <f t="shared" si="57"/>
        <v>0</v>
      </c>
      <c r="AK97" s="52">
        <f t="shared" si="58"/>
        <v>0</v>
      </c>
      <c r="AL97" s="52">
        <f t="shared" si="59"/>
        <v>0</v>
      </c>
      <c r="AN97" s="52">
        <v>21</v>
      </c>
      <c r="AO97" s="52">
        <f>G97*0</f>
        <v>0</v>
      </c>
      <c r="AP97" s="52">
        <f>G97*(1-0)</f>
        <v>0</v>
      </c>
      <c r="AQ97" s="54" t="s">
        <v>114</v>
      </c>
      <c r="AV97" s="52">
        <f t="shared" si="60"/>
        <v>0</v>
      </c>
      <c r="AW97" s="52">
        <f t="shared" si="61"/>
        <v>0</v>
      </c>
      <c r="AX97" s="52">
        <f t="shared" si="62"/>
        <v>0</v>
      </c>
      <c r="AY97" s="54" t="s">
        <v>207</v>
      </c>
      <c r="AZ97" s="54" t="s">
        <v>309</v>
      </c>
      <c r="BA97" s="34" t="s">
        <v>310</v>
      </c>
      <c r="BC97" s="52">
        <f t="shared" si="63"/>
        <v>0</v>
      </c>
      <c r="BD97" s="52">
        <f t="shared" si="64"/>
        <v>0</v>
      </c>
      <c r="BE97" s="52">
        <v>0</v>
      </c>
      <c r="BF97" s="52">
        <f>97</f>
        <v>97</v>
      </c>
      <c r="BH97" s="52">
        <f t="shared" si="65"/>
        <v>0</v>
      </c>
      <c r="BI97" s="52">
        <f t="shared" si="66"/>
        <v>0</v>
      </c>
      <c r="BJ97" s="52">
        <f t="shared" si="67"/>
        <v>0</v>
      </c>
      <c r="BK97" s="52"/>
      <c r="BL97" s="52">
        <v>18</v>
      </c>
      <c r="BW97" s="52">
        <v>21</v>
      </c>
      <c r="BX97" s="3" t="s">
        <v>316</v>
      </c>
    </row>
    <row r="98" spans="1:76" x14ac:dyDescent="0.25">
      <c r="A98" s="1" t="s">
        <v>317</v>
      </c>
      <c r="B98" s="2" t="s">
        <v>318</v>
      </c>
      <c r="C98" s="66" t="s">
        <v>319</v>
      </c>
      <c r="D98" s="67"/>
      <c r="E98" s="2" t="s">
        <v>138</v>
      </c>
      <c r="F98" s="52">
        <v>1344</v>
      </c>
      <c r="G98" s="52">
        <v>0</v>
      </c>
      <c r="H98" s="52">
        <f t="shared" si="46"/>
        <v>0</v>
      </c>
      <c r="I98" s="52">
        <f t="shared" si="47"/>
        <v>0</v>
      </c>
      <c r="J98" s="52">
        <f t="shared" si="48"/>
        <v>0</v>
      </c>
      <c r="K98" s="53" t="s">
        <v>125</v>
      </c>
      <c r="Z98" s="52">
        <f t="shared" si="49"/>
        <v>0</v>
      </c>
      <c r="AB98" s="52">
        <f t="shared" si="50"/>
        <v>0</v>
      </c>
      <c r="AC98" s="52">
        <f t="shared" si="51"/>
        <v>0</v>
      </c>
      <c r="AD98" s="52">
        <f t="shared" si="52"/>
        <v>0</v>
      </c>
      <c r="AE98" s="52">
        <f t="shared" si="53"/>
        <v>0</v>
      </c>
      <c r="AF98" s="52">
        <f t="shared" si="54"/>
        <v>0</v>
      </c>
      <c r="AG98" s="52">
        <f t="shared" si="55"/>
        <v>0</v>
      </c>
      <c r="AH98" s="52">
        <f t="shared" si="56"/>
        <v>0</v>
      </c>
      <c r="AI98" s="34" t="s">
        <v>305</v>
      </c>
      <c r="AJ98" s="52">
        <f t="shared" si="57"/>
        <v>0</v>
      </c>
      <c r="AK98" s="52">
        <f t="shared" si="58"/>
        <v>0</v>
      </c>
      <c r="AL98" s="52">
        <f t="shared" si="59"/>
        <v>0</v>
      </c>
      <c r="AN98" s="52">
        <v>21</v>
      </c>
      <c r="AO98" s="52">
        <f>G98*0.009487179</f>
        <v>0</v>
      </c>
      <c r="AP98" s="52">
        <f>G98*(1-0.009487179)</f>
        <v>0</v>
      </c>
      <c r="AQ98" s="54" t="s">
        <v>114</v>
      </c>
      <c r="AV98" s="52">
        <f t="shared" si="60"/>
        <v>0</v>
      </c>
      <c r="AW98" s="52">
        <f t="shared" si="61"/>
        <v>0</v>
      </c>
      <c r="AX98" s="52">
        <f t="shared" si="62"/>
        <v>0</v>
      </c>
      <c r="AY98" s="54" t="s">
        <v>207</v>
      </c>
      <c r="AZ98" s="54" t="s">
        <v>309</v>
      </c>
      <c r="BA98" s="34" t="s">
        <v>310</v>
      </c>
      <c r="BC98" s="52">
        <f t="shared" si="63"/>
        <v>0</v>
      </c>
      <c r="BD98" s="52">
        <f t="shared" si="64"/>
        <v>0</v>
      </c>
      <c r="BE98" s="52">
        <v>0</v>
      </c>
      <c r="BF98" s="52">
        <f>98</f>
        <v>98</v>
      </c>
      <c r="BH98" s="52">
        <f t="shared" si="65"/>
        <v>0</v>
      </c>
      <c r="BI98" s="52">
        <f t="shared" si="66"/>
        <v>0</v>
      </c>
      <c r="BJ98" s="52">
        <f t="shared" si="67"/>
        <v>0</v>
      </c>
      <c r="BK98" s="52"/>
      <c r="BL98" s="52">
        <v>18</v>
      </c>
      <c r="BW98" s="52">
        <v>21</v>
      </c>
      <c r="BX98" s="3" t="s">
        <v>319</v>
      </c>
    </row>
    <row r="99" spans="1:76" x14ac:dyDescent="0.25">
      <c r="A99" s="1" t="s">
        <v>320</v>
      </c>
      <c r="B99" s="2" t="s">
        <v>321</v>
      </c>
      <c r="C99" s="66" t="s">
        <v>322</v>
      </c>
      <c r="D99" s="67"/>
      <c r="E99" s="2" t="s">
        <v>117</v>
      </c>
      <c r="F99" s="52">
        <v>990</v>
      </c>
      <c r="G99" s="52">
        <v>0</v>
      </c>
      <c r="H99" s="52">
        <f t="shared" si="46"/>
        <v>0</v>
      </c>
      <c r="I99" s="52">
        <f t="shared" si="47"/>
        <v>0</v>
      </c>
      <c r="J99" s="52">
        <f t="shared" si="48"/>
        <v>0</v>
      </c>
      <c r="K99" s="53" t="s">
        <v>125</v>
      </c>
      <c r="Z99" s="52">
        <f t="shared" si="49"/>
        <v>0</v>
      </c>
      <c r="AB99" s="52">
        <f t="shared" si="50"/>
        <v>0</v>
      </c>
      <c r="AC99" s="52">
        <f t="shared" si="51"/>
        <v>0</v>
      </c>
      <c r="AD99" s="52">
        <f t="shared" si="52"/>
        <v>0</v>
      </c>
      <c r="AE99" s="52">
        <f t="shared" si="53"/>
        <v>0</v>
      </c>
      <c r="AF99" s="52">
        <f t="shared" si="54"/>
        <v>0</v>
      </c>
      <c r="AG99" s="52">
        <f t="shared" si="55"/>
        <v>0</v>
      </c>
      <c r="AH99" s="52">
        <f t="shared" si="56"/>
        <v>0</v>
      </c>
      <c r="AI99" s="34" t="s">
        <v>305</v>
      </c>
      <c r="AJ99" s="52">
        <f t="shared" si="57"/>
        <v>0</v>
      </c>
      <c r="AK99" s="52">
        <f t="shared" si="58"/>
        <v>0</v>
      </c>
      <c r="AL99" s="52">
        <f t="shared" si="59"/>
        <v>0</v>
      </c>
      <c r="AN99" s="52">
        <v>21</v>
      </c>
      <c r="AO99" s="52">
        <f>G99*0</f>
        <v>0</v>
      </c>
      <c r="AP99" s="52">
        <f>G99*(1-0)</f>
        <v>0</v>
      </c>
      <c r="AQ99" s="54" t="s">
        <v>114</v>
      </c>
      <c r="AV99" s="52">
        <f t="shared" si="60"/>
        <v>0</v>
      </c>
      <c r="AW99" s="52">
        <f t="shared" si="61"/>
        <v>0</v>
      </c>
      <c r="AX99" s="52">
        <f t="shared" si="62"/>
        <v>0</v>
      </c>
      <c r="AY99" s="54" t="s">
        <v>207</v>
      </c>
      <c r="AZ99" s="54" t="s">
        <v>309</v>
      </c>
      <c r="BA99" s="34" t="s">
        <v>310</v>
      </c>
      <c r="BC99" s="52">
        <f t="shared" si="63"/>
        <v>0</v>
      </c>
      <c r="BD99" s="52">
        <f t="shared" si="64"/>
        <v>0</v>
      </c>
      <c r="BE99" s="52">
        <v>0</v>
      </c>
      <c r="BF99" s="52">
        <f>99</f>
        <v>99</v>
      </c>
      <c r="BH99" s="52">
        <f t="shared" si="65"/>
        <v>0</v>
      </c>
      <c r="BI99" s="52">
        <f t="shared" si="66"/>
        <v>0</v>
      </c>
      <c r="BJ99" s="52">
        <f t="shared" si="67"/>
        <v>0</v>
      </c>
      <c r="BK99" s="52"/>
      <c r="BL99" s="52">
        <v>18</v>
      </c>
      <c r="BW99" s="52">
        <v>21</v>
      </c>
      <c r="BX99" s="3" t="s">
        <v>322</v>
      </c>
    </row>
    <row r="100" spans="1:76" x14ac:dyDescent="0.25">
      <c r="A100" s="1" t="s">
        <v>323</v>
      </c>
      <c r="B100" s="2" t="s">
        <v>324</v>
      </c>
      <c r="C100" s="66" t="s">
        <v>325</v>
      </c>
      <c r="D100" s="67"/>
      <c r="E100" s="2" t="s">
        <v>117</v>
      </c>
      <c r="F100" s="52">
        <v>990</v>
      </c>
      <c r="G100" s="52">
        <v>0</v>
      </c>
      <c r="H100" s="52">
        <f t="shared" si="46"/>
        <v>0</v>
      </c>
      <c r="I100" s="52">
        <f t="shared" si="47"/>
        <v>0</v>
      </c>
      <c r="J100" s="52">
        <f t="shared" si="48"/>
        <v>0</v>
      </c>
      <c r="K100" s="53" t="s">
        <v>125</v>
      </c>
      <c r="Z100" s="52">
        <f t="shared" si="49"/>
        <v>0</v>
      </c>
      <c r="AB100" s="52">
        <f t="shared" si="50"/>
        <v>0</v>
      </c>
      <c r="AC100" s="52">
        <f t="shared" si="51"/>
        <v>0</v>
      </c>
      <c r="AD100" s="52">
        <f t="shared" si="52"/>
        <v>0</v>
      </c>
      <c r="AE100" s="52">
        <f t="shared" si="53"/>
        <v>0</v>
      </c>
      <c r="AF100" s="52">
        <f t="shared" si="54"/>
        <v>0</v>
      </c>
      <c r="AG100" s="52">
        <f t="shared" si="55"/>
        <v>0</v>
      </c>
      <c r="AH100" s="52">
        <f t="shared" si="56"/>
        <v>0</v>
      </c>
      <c r="AI100" s="34" t="s">
        <v>305</v>
      </c>
      <c r="AJ100" s="52">
        <f t="shared" si="57"/>
        <v>0</v>
      </c>
      <c r="AK100" s="52">
        <f t="shared" si="58"/>
        <v>0</v>
      </c>
      <c r="AL100" s="52">
        <f t="shared" si="59"/>
        <v>0</v>
      </c>
      <c r="AN100" s="52">
        <v>21</v>
      </c>
      <c r="AO100" s="52">
        <f>G100*0</f>
        <v>0</v>
      </c>
      <c r="AP100" s="52">
        <f>G100*(1-0)</f>
        <v>0</v>
      </c>
      <c r="AQ100" s="54" t="s">
        <v>114</v>
      </c>
      <c r="AV100" s="52">
        <f t="shared" si="60"/>
        <v>0</v>
      </c>
      <c r="AW100" s="52">
        <f t="shared" si="61"/>
        <v>0</v>
      </c>
      <c r="AX100" s="52">
        <f t="shared" si="62"/>
        <v>0</v>
      </c>
      <c r="AY100" s="54" t="s">
        <v>207</v>
      </c>
      <c r="AZ100" s="54" t="s">
        <v>309</v>
      </c>
      <c r="BA100" s="34" t="s">
        <v>310</v>
      </c>
      <c r="BC100" s="52">
        <f t="shared" si="63"/>
        <v>0</v>
      </c>
      <c r="BD100" s="52">
        <f t="shared" si="64"/>
        <v>0</v>
      </c>
      <c r="BE100" s="52">
        <v>0</v>
      </c>
      <c r="BF100" s="52">
        <f>100</f>
        <v>100</v>
      </c>
      <c r="BH100" s="52">
        <f t="shared" si="65"/>
        <v>0</v>
      </c>
      <c r="BI100" s="52">
        <f t="shared" si="66"/>
        <v>0</v>
      </c>
      <c r="BJ100" s="52">
        <f t="shared" si="67"/>
        <v>0</v>
      </c>
      <c r="BK100" s="52"/>
      <c r="BL100" s="52">
        <v>18</v>
      </c>
      <c r="BW100" s="52">
        <v>21</v>
      </c>
      <c r="BX100" s="3" t="s">
        <v>325</v>
      </c>
    </row>
    <row r="101" spans="1:76" x14ac:dyDescent="0.25">
      <c r="A101" s="1" t="s">
        <v>326</v>
      </c>
      <c r="B101" s="2" t="s">
        <v>242</v>
      </c>
      <c r="C101" s="66" t="s">
        <v>327</v>
      </c>
      <c r="D101" s="67"/>
      <c r="E101" s="2" t="s">
        <v>129</v>
      </c>
      <c r="F101" s="52">
        <v>40</v>
      </c>
      <c r="G101" s="52">
        <v>0</v>
      </c>
      <c r="H101" s="52">
        <f t="shared" si="46"/>
        <v>0</v>
      </c>
      <c r="I101" s="52">
        <f t="shared" si="47"/>
        <v>0</v>
      </c>
      <c r="J101" s="52">
        <f t="shared" si="48"/>
        <v>0</v>
      </c>
      <c r="K101" s="53" t="s">
        <v>130</v>
      </c>
      <c r="Z101" s="52">
        <f t="shared" si="49"/>
        <v>0</v>
      </c>
      <c r="AB101" s="52">
        <f t="shared" si="50"/>
        <v>0</v>
      </c>
      <c r="AC101" s="52">
        <f t="shared" si="51"/>
        <v>0</v>
      </c>
      <c r="AD101" s="52">
        <f t="shared" si="52"/>
        <v>0</v>
      </c>
      <c r="AE101" s="52">
        <f t="shared" si="53"/>
        <v>0</v>
      </c>
      <c r="AF101" s="52">
        <f t="shared" si="54"/>
        <v>0</v>
      </c>
      <c r="AG101" s="52">
        <f t="shared" si="55"/>
        <v>0</v>
      </c>
      <c r="AH101" s="52">
        <f t="shared" si="56"/>
        <v>0</v>
      </c>
      <c r="AI101" s="34" t="s">
        <v>305</v>
      </c>
      <c r="AJ101" s="52">
        <f t="shared" si="57"/>
        <v>0</v>
      </c>
      <c r="AK101" s="52">
        <f t="shared" si="58"/>
        <v>0</v>
      </c>
      <c r="AL101" s="52">
        <f t="shared" si="59"/>
        <v>0</v>
      </c>
      <c r="AN101" s="52">
        <v>21</v>
      </c>
      <c r="AO101" s="52">
        <f>G101*0</f>
        <v>0</v>
      </c>
      <c r="AP101" s="52">
        <f>G101*(1-0)</f>
        <v>0</v>
      </c>
      <c r="AQ101" s="54" t="s">
        <v>114</v>
      </c>
      <c r="AV101" s="52">
        <f t="shared" si="60"/>
        <v>0</v>
      </c>
      <c r="AW101" s="52">
        <f t="shared" si="61"/>
        <v>0</v>
      </c>
      <c r="AX101" s="52">
        <f t="shared" si="62"/>
        <v>0</v>
      </c>
      <c r="AY101" s="54" t="s">
        <v>207</v>
      </c>
      <c r="AZ101" s="54" t="s">
        <v>309</v>
      </c>
      <c r="BA101" s="34" t="s">
        <v>310</v>
      </c>
      <c r="BC101" s="52">
        <f t="shared" si="63"/>
        <v>0</v>
      </c>
      <c r="BD101" s="52">
        <f t="shared" si="64"/>
        <v>0</v>
      </c>
      <c r="BE101" s="52">
        <v>0</v>
      </c>
      <c r="BF101" s="52">
        <f>101</f>
        <v>101</v>
      </c>
      <c r="BH101" s="52">
        <f t="shared" si="65"/>
        <v>0</v>
      </c>
      <c r="BI101" s="52">
        <f t="shared" si="66"/>
        <v>0</v>
      </c>
      <c r="BJ101" s="52">
        <f t="shared" si="67"/>
        <v>0</v>
      </c>
      <c r="BK101" s="52"/>
      <c r="BL101" s="52">
        <v>18</v>
      </c>
      <c r="BW101" s="52">
        <v>21</v>
      </c>
      <c r="BX101" s="3" t="s">
        <v>327</v>
      </c>
    </row>
    <row r="102" spans="1:76" x14ac:dyDescent="0.25">
      <c r="A102" s="48" t="s">
        <v>4</v>
      </c>
      <c r="B102" s="49" t="s">
        <v>244</v>
      </c>
      <c r="C102" s="143" t="s">
        <v>245</v>
      </c>
      <c r="D102" s="144"/>
      <c r="E102" s="50" t="s">
        <v>73</v>
      </c>
      <c r="F102" s="50" t="s">
        <v>73</v>
      </c>
      <c r="G102" s="50" t="s">
        <v>73</v>
      </c>
      <c r="H102" s="28">
        <f>SUM(H103:H103)</f>
        <v>0</v>
      </c>
      <c r="I102" s="28">
        <f>SUM(I103:I103)</f>
        <v>0</v>
      </c>
      <c r="J102" s="28">
        <f>SUM(J103:J103)</f>
        <v>0</v>
      </c>
      <c r="K102" s="51" t="s">
        <v>4</v>
      </c>
      <c r="AI102" s="34" t="s">
        <v>305</v>
      </c>
      <c r="AS102" s="28">
        <f>SUM(AJ103:AJ103)</f>
        <v>0</v>
      </c>
      <c r="AT102" s="28">
        <f>SUM(AK103:AK103)</f>
        <v>0</v>
      </c>
      <c r="AU102" s="28">
        <f>SUM(AL103:AL103)</f>
        <v>0</v>
      </c>
    </row>
    <row r="103" spans="1:76" x14ac:dyDescent="0.25">
      <c r="A103" s="1" t="s">
        <v>328</v>
      </c>
      <c r="B103" s="2" t="s">
        <v>247</v>
      </c>
      <c r="C103" s="66" t="s">
        <v>248</v>
      </c>
      <c r="D103" s="67"/>
      <c r="E103" s="2" t="s">
        <v>249</v>
      </c>
      <c r="F103" s="52">
        <v>45.4</v>
      </c>
      <c r="G103" s="52">
        <v>0</v>
      </c>
      <c r="H103" s="52">
        <f>F103*AO103</f>
        <v>0</v>
      </c>
      <c r="I103" s="52">
        <f>F103*AP103</f>
        <v>0</v>
      </c>
      <c r="J103" s="52">
        <f>F103*G103</f>
        <v>0</v>
      </c>
      <c r="K103" s="53" t="s">
        <v>125</v>
      </c>
      <c r="Z103" s="52">
        <f>IF(AQ103="5",BJ103,0)</f>
        <v>0</v>
      </c>
      <c r="AB103" s="52">
        <f>IF(AQ103="1",BH103,0)</f>
        <v>0</v>
      </c>
      <c r="AC103" s="52">
        <f>IF(AQ103="1",BI103,0)</f>
        <v>0</v>
      </c>
      <c r="AD103" s="52">
        <f>IF(AQ103="7",BH103,0)</f>
        <v>0</v>
      </c>
      <c r="AE103" s="52">
        <f>IF(AQ103="7",BI103,0)</f>
        <v>0</v>
      </c>
      <c r="AF103" s="52">
        <f>IF(AQ103="2",BH103,0)</f>
        <v>0</v>
      </c>
      <c r="AG103" s="52">
        <f>IF(AQ103="2",BI103,0)</f>
        <v>0</v>
      </c>
      <c r="AH103" s="52">
        <f>IF(AQ103="0",BJ103,0)</f>
        <v>0</v>
      </c>
      <c r="AI103" s="34" t="s">
        <v>305</v>
      </c>
      <c r="AJ103" s="52">
        <f>IF(AN103=0,J103,0)</f>
        <v>0</v>
      </c>
      <c r="AK103" s="52">
        <f>IF(AN103=12,J103,0)</f>
        <v>0</v>
      </c>
      <c r="AL103" s="52">
        <f>IF(AN103=21,J103,0)</f>
        <v>0</v>
      </c>
      <c r="AN103" s="52">
        <v>21</v>
      </c>
      <c r="AO103" s="52">
        <f>G103*0</f>
        <v>0</v>
      </c>
      <c r="AP103" s="52">
        <f>G103*(1-0)</f>
        <v>0</v>
      </c>
      <c r="AQ103" s="54" t="s">
        <v>135</v>
      </c>
      <c r="AV103" s="52">
        <f>AW103+AX103</f>
        <v>0</v>
      </c>
      <c r="AW103" s="52">
        <f>F103*AO103</f>
        <v>0</v>
      </c>
      <c r="AX103" s="52">
        <f>F103*AP103</f>
        <v>0</v>
      </c>
      <c r="AY103" s="54" t="s">
        <v>250</v>
      </c>
      <c r="AZ103" s="54" t="s">
        <v>329</v>
      </c>
      <c r="BA103" s="34" t="s">
        <v>310</v>
      </c>
      <c r="BC103" s="52">
        <f>AW103+AX103</f>
        <v>0</v>
      </c>
      <c r="BD103" s="52">
        <f>G103/(100-BE103)*100</f>
        <v>0</v>
      </c>
      <c r="BE103" s="52">
        <v>0</v>
      </c>
      <c r="BF103" s="52">
        <f>103</f>
        <v>103</v>
      </c>
      <c r="BH103" s="52">
        <f>F103*AO103</f>
        <v>0</v>
      </c>
      <c r="BI103" s="52">
        <f>F103*AP103</f>
        <v>0</v>
      </c>
      <c r="BJ103" s="52">
        <f>F103*G103</f>
        <v>0</v>
      </c>
      <c r="BK103" s="52"/>
      <c r="BL103" s="52"/>
      <c r="BW103" s="52">
        <v>21</v>
      </c>
      <c r="BX103" s="3" t="s">
        <v>248</v>
      </c>
    </row>
    <row r="104" spans="1:76" x14ac:dyDescent="0.25">
      <c r="A104" s="48" t="s">
        <v>4</v>
      </c>
      <c r="B104" s="49" t="s">
        <v>252</v>
      </c>
      <c r="C104" s="143" t="s">
        <v>37</v>
      </c>
      <c r="D104" s="144"/>
      <c r="E104" s="50" t="s">
        <v>73</v>
      </c>
      <c r="F104" s="50" t="s">
        <v>73</v>
      </c>
      <c r="G104" s="50" t="s">
        <v>73</v>
      </c>
      <c r="H104" s="28">
        <f>SUM(H105:H110)</f>
        <v>0</v>
      </c>
      <c r="I104" s="28">
        <f>SUM(I105:I110)</f>
        <v>0</v>
      </c>
      <c r="J104" s="28">
        <f>SUM(J105:J110)</f>
        <v>0</v>
      </c>
      <c r="K104" s="51" t="s">
        <v>4</v>
      </c>
      <c r="AI104" s="34" t="s">
        <v>305</v>
      </c>
      <c r="AS104" s="28">
        <f>SUM(AJ105:AJ110)</f>
        <v>0</v>
      </c>
      <c r="AT104" s="28">
        <f>SUM(AK105:AK110)</f>
        <v>0</v>
      </c>
      <c r="AU104" s="28">
        <f>SUM(AL105:AL110)</f>
        <v>0</v>
      </c>
    </row>
    <row r="105" spans="1:76" x14ac:dyDescent="0.25">
      <c r="A105" s="1" t="s">
        <v>330</v>
      </c>
      <c r="B105" s="2" t="s">
        <v>254</v>
      </c>
      <c r="C105" s="66" t="s">
        <v>331</v>
      </c>
      <c r="D105" s="67"/>
      <c r="E105" s="2" t="s">
        <v>231</v>
      </c>
      <c r="F105" s="52">
        <v>2688</v>
      </c>
      <c r="G105" s="52">
        <v>0</v>
      </c>
      <c r="H105" s="52">
        <f>F105*AO105</f>
        <v>0</v>
      </c>
      <c r="I105" s="52">
        <f>F105*AP105</f>
        <v>0</v>
      </c>
      <c r="J105" s="52">
        <f>F105*G105</f>
        <v>0</v>
      </c>
      <c r="K105" s="53" t="s">
        <v>4</v>
      </c>
      <c r="Z105" s="52">
        <f>IF(AQ105="5",BJ105,0)</f>
        <v>0</v>
      </c>
      <c r="AB105" s="52">
        <f>IF(AQ105="1",BH105,0)</f>
        <v>0</v>
      </c>
      <c r="AC105" s="52">
        <f>IF(AQ105="1",BI105,0)</f>
        <v>0</v>
      </c>
      <c r="AD105" s="52">
        <f>IF(AQ105="7",BH105,0)</f>
        <v>0</v>
      </c>
      <c r="AE105" s="52">
        <f>IF(AQ105="7",BI105,0)</f>
        <v>0</v>
      </c>
      <c r="AF105" s="52">
        <f>IF(AQ105="2",BH105,0)</f>
        <v>0</v>
      </c>
      <c r="AG105" s="52">
        <f>IF(AQ105="2",BI105,0)</f>
        <v>0</v>
      </c>
      <c r="AH105" s="52">
        <f>IF(AQ105="0",BJ105,0)</f>
        <v>0</v>
      </c>
      <c r="AI105" s="34" t="s">
        <v>305</v>
      </c>
      <c r="AJ105" s="52">
        <f>IF(AN105=0,J105,0)</f>
        <v>0</v>
      </c>
      <c r="AK105" s="52">
        <f>IF(AN105=12,J105,0)</f>
        <v>0</v>
      </c>
      <c r="AL105" s="52">
        <f>IF(AN105=21,J105,0)</f>
        <v>0</v>
      </c>
      <c r="AN105" s="52">
        <v>21</v>
      </c>
      <c r="AO105" s="52">
        <f>G105*1</f>
        <v>0</v>
      </c>
      <c r="AP105" s="52">
        <f>G105*(1-1)</f>
        <v>0</v>
      </c>
      <c r="AQ105" s="54" t="s">
        <v>256</v>
      </c>
      <c r="AV105" s="52">
        <f>AW105+AX105</f>
        <v>0</v>
      </c>
      <c r="AW105" s="52">
        <f>F105*AO105</f>
        <v>0</v>
      </c>
      <c r="AX105" s="52">
        <f>F105*AP105</f>
        <v>0</v>
      </c>
      <c r="AY105" s="54" t="s">
        <v>257</v>
      </c>
      <c r="AZ105" s="54" t="s">
        <v>332</v>
      </c>
      <c r="BA105" s="34" t="s">
        <v>310</v>
      </c>
      <c r="BC105" s="52">
        <f>AW105+AX105</f>
        <v>0</v>
      </c>
      <c r="BD105" s="52">
        <f>G105/(100-BE105)*100</f>
        <v>0</v>
      </c>
      <c r="BE105" s="52">
        <v>0</v>
      </c>
      <c r="BF105" s="52">
        <f>105</f>
        <v>105</v>
      </c>
      <c r="BH105" s="52">
        <f>F105*AO105</f>
        <v>0</v>
      </c>
      <c r="BI105" s="52">
        <f>F105*AP105</f>
        <v>0</v>
      </c>
      <c r="BJ105" s="52">
        <f>F105*G105</f>
        <v>0</v>
      </c>
      <c r="BK105" s="52"/>
      <c r="BL105" s="52"/>
      <c r="BW105" s="52">
        <v>21</v>
      </c>
      <c r="BX105" s="3" t="s">
        <v>331</v>
      </c>
    </row>
    <row r="106" spans="1:76" x14ac:dyDescent="0.25">
      <c r="A106" s="1" t="s">
        <v>333</v>
      </c>
      <c r="B106" s="2" t="s">
        <v>263</v>
      </c>
      <c r="C106" s="66" t="s">
        <v>264</v>
      </c>
      <c r="D106" s="67"/>
      <c r="E106" s="2" t="s">
        <v>129</v>
      </c>
      <c r="F106" s="52">
        <v>70</v>
      </c>
      <c r="G106" s="52">
        <v>0</v>
      </c>
      <c r="H106" s="52">
        <f>F106*AO106</f>
        <v>0</v>
      </c>
      <c r="I106" s="52">
        <f>F106*AP106</f>
        <v>0</v>
      </c>
      <c r="J106" s="52">
        <f>F106*G106</f>
        <v>0</v>
      </c>
      <c r="K106" s="53" t="s">
        <v>125</v>
      </c>
      <c r="Z106" s="52">
        <f>IF(AQ106="5",BJ106,0)</f>
        <v>0</v>
      </c>
      <c r="AB106" s="52">
        <f>IF(AQ106="1",BH106,0)</f>
        <v>0</v>
      </c>
      <c r="AC106" s="52">
        <f>IF(AQ106="1",BI106,0)</f>
        <v>0</v>
      </c>
      <c r="AD106" s="52">
        <f>IF(AQ106="7",BH106,0)</f>
        <v>0</v>
      </c>
      <c r="AE106" s="52">
        <f>IF(AQ106="7",BI106,0)</f>
        <v>0</v>
      </c>
      <c r="AF106" s="52">
        <f>IF(AQ106="2",BH106,0)</f>
        <v>0</v>
      </c>
      <c r="AG106" s="52">
        <f>IF(AQ106="2",BI106,0)</f>
        <v>0</v>
      </c>
      <c r="AH106" s="52">
        <f>IF(AQ106="0",BJ106,0)</f>
        <v>0</v>
      </c>
      <c r="AI106" s="34" t="s">
        <v>305</v>
      </c>
      <c r="AJ106" s="52">
        <f>IF(AN106=0,J106,0)</f>
        <v>0</v>
      </c>
      <c r="AK106" s="52">
        <f>IF(AN106=12,J106,0)</f>
        <v>0</v>
      </c>
      <c r="AL106" s="52">
        <f>IF(AN106=21,J106,0)</f>
        <v>0</v>
      </c>
      <c r="AN106" s="52">
        <v>21</v>
      </c>
      <c r="AO106" s="52">
        <f>G106*1</f>
        <v>0</v>
      </c>
      <c r="AP106" s="52">
        <f>G106*(1-1)</f>
        <v>0</v>
      </c>
      <c r="AQ106" s="54" t="s">
        <v>256</v>
      </c>
      <c r="AV106" s="52">
        <f>AW106+AX106</f>
        <v>0</v>
      </c>
      <c r="AW106" s="52">
        <f>F106*AO106</f>
        <v>0</v>
      </c>
      <c r="AX106" s="52">
        <f>F106*AP106</f>
        <v>0</v>
      </c>
      <c r="AY106" s="54" t="s">
        <v>257</v>
      </c>
      <c r="AZ106" s="54" t="s">
        <v>332</v>
      </c>
      <c r="BA106" s="34" t="s">
        <v>310</v>
      </c>
      <c r="BC106" s="52">
        <f>AW106+AX106</f>
        <v>0</v>
      </c>
      <c r="BD106" s="52">
        <f>G106/(100-BE106)*100</f>
        <v>0</v>
      </c>
      <c r="BE106" s="52">
        <v>0</v>
      </c>
      <c r="BF106" s="52">
        <f>106</f>
        <v>106</v>
      </c>
      <c r="BH106" s="52">
        <f>F106*AO106</f>
        <v>0</v>
      </c>
      <c r="BI106" s="52">
        <f>F106*AP106</f>
        <v>0</v>
      </c>
      <c r="BJ106" s="52">
        <f>F106*G106</f>
        <v>0</v>
      </c>
      <c r="BK106" s="52"/>
      <c r="BL106" s="52"/>
      <c r="BW106" s="52">
        <v>21</v>
      </c>
      <c r="BX106" s="3" t="s">
        <v>264</v>
      </c>
    </row>
    <row r="107" spans="1:76" x14ac:dyDescent="0.25">
      <c r="A107" s="1" t="s">
        <v>334</v>
      </c>
      <c r="B107" s="2" t="s">
        <v>335</v>
      </c>
      <c r="C107" s="66" t="s">
        <v>336</v>
      </c>
      <c r="D107" s="67"/>
      <c r="E107" s="2" t="s">
        <v>231</v>
      </c>
      <c r="F107" s="52">
        <v>1344</v>
      </c>
      <c r="G107" s="52">
        <v>0</v>
      </c>
      <c r="H107" s="52">
        <f>F107*AO107</f>
        <v>0</v>
      </c>
      <c r="I107" s="52">
        <f>F107*AP107</f>
        <v>0</v>
      </c>
      <c r="J107" s="52">
        <f>F107*G107</f>
        <v>0</v>
      </c>
      <c r="K107" s="53" t="s">
        <v>4</v>
      </c>
      <c r="Z107" s="52">
        <f>IF(AQ107="5",BJ107,0)</f>
        <v>0</v>
      </c>
      <c r="AB107" s="52">
        <f>IF(AQ107="1",BH107,0)</f>
        <v>0</v>
      </c>
      <c r="AC107" s="52">
        <f>IF(AQ107="1",BI107,0)</f>
        <v>0</v>
      </c>
      <c r="AD107" s="52">
        <f>IF(AQ107="7",BH107,0)</f>
        <v>0</v>
      </c>
      <c r="AE107" s="52">
        <f>IF(AQ107="7",BI107,0)</f>
        <v>0</v>
      </c>
      <c r="AF107" s="52">
        <f>IF(AQ107="2",BH107,0)</f>
        <v>0</v>
      </c>
      <c r="AG107" s="52">
        <f>IF(AQ107="2",BI107,0)</f>
        <v>0</v>
      </c>
      <c r="AH107" s="52">
        <f>IF(AQ107="0",BJ107,0)</f>
        <v>0</v>
      </c>
      <c r="AI107" s="34" t="s">
        <v>305</v>
      </c>
      <c r="AJ107" s="52">
        <f>IF(AN107=0,J107,0)</f>
        <v>0</v>
      </c>
      <c r="AK107" s="52">
        <f>IF(AN107=12,J107,0)</f>
        <v>0</v>
      </c>
      <c r="AL107" s="52">
        <f>IF(AN107=21,J107,0)</f>
        <v>0</v>
      </c>
      <c r="AN107" s="52">
        <v>21</v>
      </c>
      <c r="AO107" s="52">
        <f>G107*1</f>
        <v>0</v>
      </c>
      <c r="AP107" s="52">
        <f>G107*(1-1)</f>
        <v>0</v>
      </c>
      <c r="AQ107" s="54" t="s">
        <v>256</v>
      </c>
      <c r="AV107" s="52">
        <f>AW107+AX107</f>
        <v>0</v>
      </c>
      <c r="AW107" s="52">
        <f>F107*AO107</f>
        <v>0</v>
      </c>
      <c r="AX107" s="52">
        <f>F107*AP107</f>
        <v>0</v>
      </c>
      <c r="AY107" s="54" t="s">
        <v>257</v>
      </c>
      <c r="AZ107" s="54" t="s">
        <v>332</v>
      </c>
      <c r="BA107" s="34" t="s">
        <v>310</v>
      </c>
      <c r="BC107" s="52">
        <f>AW107+AX107</f>
        <v>0</v>
      </c>
      <c r="BD107" s="52">
        <f>G107/(100-BE107)*100</f>
        <v>0</v>
      </c>
      <c r="BE107" s="52">
        <v>0</v>
      </c>
      <c r="BF107" s="52">
        <f>107</f>
        <v>107</v>
      </c>
      <c r="BH107" s="52">
        <f>F107*AO107</f>
        <v>0</v>
      </c>
      <c r="BI107" s="52">
        <f>F107*AP107</f>
        <v>0</v>
      </c>
      <c r="BJ107" s="52">
        <f>F107*G107</f>
        <v>0</v>
      </c>
      <c r="BK107" s="52"/>
      <c r="BL107" s="52"/>
      <c r="BW107" s="52">
        <v>21</v>
      </c>
      <c r="BX107" s="3" t="s">
        <v>336</v>
      </c>
    </row>
    <row r="108" spans="1:76" ht="81" customHeight="1" x14ac:dyDescent="0.25">
      <c r="A108" s="55"/>
      <c r="B108" s="56" t="s">
        <v>57</v>
      </c>
      <c r="C108" s="138" t="s">
        <v>337</v>
      </c>
      <c r="D108" s="139"/>
      <c r="E108" s="139"/>
      <c r="F108" s="139"/>
      <c r="G108" s="139"/>
      <c r="H108" s="139"/>
      <c r="I108" s="139"/>
      <c r="J108" s="139"/>
      <c r="K108" s="140"/>
    </row>
    <row r="109" spans="1:76" x14ac:dyDescent="0.25">
      <c r="A109" s="1" t="s">
        <v>338</v>
      </c>
      <c r="B109" s="2" t="s">
        <v>339</v>
      </c>
      <c r="C109" s="66" t="s">
        <v>340</v>
      </c>
      <c r="D109" s="67"/>
      <c r="E109" s="2" t="s">
        <v>341</v>
      </c>
      <c r="F109" s="52">
        <v>0.5</v>
      </c>
      <c r="G109" s="52">
        <v>0</v>
      </c>
      <c r="H109" s="52">
        <f>F109*AO109</f>
        <v>0</v>
      </c>
      <c r="I109" s="52">
        <f>F109*AP109</f>
        <v>0</v>
      </c>
      <c r="J109" s="52">
        <f>F109*G109</f>
        <v>0</v>
      </c>
      <c r="K109" s="53" t="s">
        <v>4</v>
      </c>
      <c r="Z109" s="52">
        <f>IF(AQ109="5",BJ109,0)</f>
        <v>0</v>
      </c>
      <c r="AB109" s="52">
        <f>IF(AQ109="1",BH109,0)</f>
        <v>0</v>
      </c>
      <c r="AC109" s="52">
        <f>IF(AQ109="1",BI109,0)</f>
        <v>0</v>
      </c>
      <c r="AD109" s="52">
        <f>IF(AQ109="7",BH109,0)</f>
        <v>0</v>
      </c>
      <c r="AE109" s="52">
        <f>IF(AQ109="7",BI109,0)</f>
        <v>0</v>
      </c>
      <c r="AF109" s="52">
        <f>IF(AQ109="2",BH109,0)</f>
        <v>0</v>
      </c>
      <c r="AG109" s="52">
        <f>IF(AQ109="2",BI109,0)</f>
        <v>0</v>
      </c>
      <c r="AH109" s="52">
        <f>IF(AQ109="0",BJ109,0)</f>
        <v>0</v>
      </c>
      <c r="AI109" s="34" t="s">
        <v>305</v>
      </c>
      <c r="AJ109" s="52">
        <f>IF(AN109=0,J109,0)</f>
        <v>0</v>
      </c>
      <c r="AK109" s="52">
        <f>IF(AN109=12,J109,0)</f>
        <v>0</v>
      </c>
      <c r="AL109" s="52">
        <f>IF(AN109=21,J109,0)</f>
        <v>0</v>
      </c>
      <c r="AN109" s="52">
        <v>21</v>
      </c>
      <c r="AO109" s="52">
        <f>G109*1</f>
        <v>0</v>
      </c>
      <c r="AP109" s="52">
        <f>G109*(1-1)</f>
        <v>0</v>
      </c>
      <c r="AQ109" s="54" t="s">
        <v>256</v>
      </c>
      <c r="AV109" s="52">
        <f>AW109+AX109</f>
        <v>0</v>
      </c>
      <c r="AW109" s="52">
        <f>F109*AO109</f>
        <v>0</v>
      </c>
      <c r="AX109" s="52">
        <f>F109*AP109</f>
        <v>0</v>
      </c>
      <c r="AY109" s="54" t="s">
        <v>257</v>
      </c>
      <c r="AZ109" s="54" t="s">
        <v>332</v>
      </c>
      <c r="BA109" s="34" t="s">
        <v>310</v>
      </c>
      <c r="BC109" s="52">
        <f>AW109+AX109</f>
        <v>0</v>
      </c>
      <c r="BD109" s="52">
        <f>G109/(100-BE109)*100</f>
        <v>0</v>
      </c>
      <c r="BE109" s="52">
        <v>0</v>
      </c>
      <c r="BF109" s="52">
        <f>109</f>
        <v>109</v>
      </c>
      <c r="BH109" s="52">
        <f>F109*AO109</f>
        <v>0</v>
      </c>
      <c r="BI109" s="52">
        <f>F109*AP109</f>
        <v>0</v>
      </c>
      <c r="BJ109" s="52">
        <f>F109*G109</f>
        <v>0</v>
      </c>
      <c r="BK109" s="52"/>
      <c r="BL109" s="52"/>
      <c r="BW109" s="52">
        <v>21</v>
      </c>
      <c r="BX109" s="3" t="s">
        <v>340</v>
      </c>
    </row>
    <row r="110" spans="1:76" x14ac:dyDescent="0.25">
      <c r="A110" s="1" t="s">
        <v>342</v>
      </c>
      <c r="B110" s="2" t="s">
        <v>302</v>
      </c>
      <c r="C110" s="66" t="s">
        <v>303</v>
      </c>
      <c r="D110" s="67"/>
      <c r="E110" s="2" t="s">
        <v>129</v>
      </c>
      <c r="F110" s="52">
        <v>40</v>
      </c>
      <c r="G110" s="52">
        <v>0</v>
      </c>
      <c r="H110" s="52">
        <f>F110*AO110</f>
        <v>0</v>
      </c>
      <c r="I110" s="52">
        <f>F110*AP110</f>
        <v>0</v>
      </c>
      <c r="J110" s="52">
        <f>F110*G110</f>
        <v>0</v>
      </c>
      <c r="K110" s="53" t="s">
        <v>125</v>
      </c>
      <c r="Z110" s="52">
        <f>IF(AQ110="5",BJ110,0)</f>
        <v>0</v>
      </c>
      <c r="AB110" s="52">
        <f>IF(AQ110="1",BH110,0)</f>
        <v>0</v>
      </c>
      <c r="AC110" s="52">
        <f>IF(AQ110="1",BI110,0)</f>
        <v>0</v>
      </c>
      <c r="AD110" s="52">
        <f>IF(AQ110="7",BH110,0)</f>
        <v>0</v>
      </c>
      <c r="AE110" s="52">
        <f>IF(AQ110="7",BI110,0)</f>
        <v>0</v>
      </c>
      <c r="AF110" s="52">
        <f>IF(AQ110="2",BH110,0)</f>
        <v>0</v>
      </c>
      <c r="AG110" s="52">
        <f>IF(AQ110="2",BI110,0)</f>
        <v>0</v>
      </c>
      <c r="AH110" s="52">
        <f>IF(AQ110="0",BJ110,0)</f>
        <v>0</v>
      </c>
      <c r="AI110" s="34" t="s">
        <v>305</v>
      </c>
      <c r="AJ110" s="52">
        <f>IF(AN110=0,J110,0)</f>
        <v>0</v>
      </c>
      <c r="AK110" s="52">
        <f>IF(AN110=12,J110,0)</f>
        <v>0</v>
      </c>
      <c r="AL110" s="52">
        <f>IF(AN110=21,J110,0)</f>
        <v>0</v>
      </c>
      <c r="AN110" s="52">
        <v>21</v>
      </c>
      <c r="AO110" s="52">
        <f>G110*1</f>
        <v>0</v>
      </c>
      <c r="AP110" s="52">
        <f>G110*(1-1)</f>
        <v>0</v>
      </c>
      <c r="AQ110" s="54" t="s">
        <v>256</v>
      </c>
      <c r="AV110" s="52">
        <f>AW110+AX110</f>
        <v>0</v>
      </c>
      <c r="AW110" s="52">
        <f>F110*AO110</f>
        <v>0</v>
      </c>
      <c r="AX110" s="52">
        <f>F110*AP110</f>
        <v>0</v>
      </c>
      <c r="AY110" s="54" t="s">
        <v>257</v>
      </c>
      <c r="AZ110" s="54" t="s">
        <v>332</v>
      </c>
      <c r="BA110" s="34" t="s">
        <v>310</v>
      </c>
      <c r="BC110" s="52">
        <f>AW110+AX110</f>
        <v>0</v>
      </c>
      <c r="BD110" s="52">
        <f>G110/(100-BE110)*100</f>
        <v>0</v>
      </c>
      <c r="BE110" s="52">
        <v>0</v>
      </c>
      <c r="BF110" s="52">
        <f>110</f>
        <v>110</v>
      </c>
      <c r="BH110" s="52">
        <f>F110*AO110</f>
        <v>0</v>
      </c>
      <c r="BI110" s="52">
        <f>F110*AP110</f>
        <v>0</v>
      </c>
      <c r="BJ110" s="52">
        <f>F110*G110</f>
        <v>0</v>
      </c>
      <c r="BK110" s="52"/>
      <c r="BL110" s="52"/>
      <c r="BW110" s="52">
        <v>21</v>
      </c>
      <c r="BX110" s="3" t="s">
        <v>303</v>
      </c>
    </row>
    <row r="111" spans="1:76" x14ac:dyDescent="0.25">
      <c r="A111" s="57" t="s">
        <v>4</v>
      </c>
      <c r="B111" s="58" t="s">
        <v>4</v>
      </c>
      <c r="C111" s="141" t="s">
        <v>343</v>
      </c>
      <c r="D111" s="142"/>
      <c r="E111" s="59" t="s">
        <v>73</v>
      </c>
      <c r="F111" s="59" t="s">
        <v>73</v>
      </c>
      <c r="G111" s="59" t="s">
        <v>73</v>
      </c>
      <c r="H111" s="60">
        <f>H112+H118+H120</f>
        <v>0</v>
      </c>
      <c r="I111" s="60">
        <f>I112+I118+I120</f>
        <v>0</v>
      </c>
      <c r="J111" s="60">
        <f>J112+J118+J120</f>
        <v>0</v>
      </c>
      <c r="K111" s="61" t="s">
        <v>4</v>
      </c>
    </row>
    <row r="112" spans="1:76" x14ac:dyDescent="0.25">
      <c r="A112" s="48" t="s">
        <v>4</v>
      </c>
      <c r="B112" s="49" t="s">
        <v>182</v>
      </c>
      <c r="C112" s="143" t="s">
        <v>203</v>
      </c>
      <c r="D112" s="144"/>
      <c r="E112" s="50" t="s">
        <v>73</v>
      </c>
      <c r="F112" s="50" t="s">
        <v>73</v>
      </c>
      <c r="G112" s="50" t="s">
        <v>73</v>
      </c>
      <c r="H112" s="28">
        <f>SUM(H113:H117)</f>
        <v>0</v>
      </c>
      <c r="I112" s="28">
        <f>SUM(I113:I117)</f>
        <v>0</v>
      </c>
      <c r="J112" s="28">
        <f>SUM(J113:J117)</f>
        <v>0</v>
      </c>
      <c r="K112" s="51" t="s">
        <v>4</v>
      </c>
      <c r="AI112" s="34" t="s">
        <v>344</v>
      </c>
      <c r="AS112" s="28">
        <f>SUM(AJ113:AJ117)</f>
        <v>0</v>
      </c>
      <c r="AT112" s="28">
        <f>SUM(AK113:AK117)</f>
        <v>0</v>
      </c>
      <c r="AU112" s="28">
        <f>SUM(AL113:AL117)</f>
        <v>0</v>
      </c>
    </row>
    <row r="113" spans="1:76" x14ac:dyDescent="0.25">
      <c r="A113" s="1" t="s">
        <v>345</v>
      </c>
      <c r="B113" s="2" t="s">
        <v>307</v>
      </c>
      <c r="C113" s="66" t="s">
        <v>346</v>
      </c>
      <c r="D113" s="67"/>
      <c r="E113" s="2" t="s">
        <v>117</v>
      </c>
      <c r="F113" s="52">
        <v>2487</v>
      </c>
      <c r="G113" s="52">
        <v>0</v>
      </c>
      <c r="H113" s="52">
        <f>F113*AO113</f>
        <v>0</v>
      </c>
      <c r="I113" s="52">
        <f>F113*AP113</f>
        <v>0</v>
      </c>
      <c r="J113" s="52">
        <f>F113*G113</f>
        <v>0</v>
      </c>
      <c r="K113" s="53" t="s">
        <v>125</v>
      </c>
      <c r="Z113" s="52">
        <f>IF(AQ113="5",BJ113,0)</f>
        <v>0</v>
      </c>
      <c r="AB113" s="52">
        <f>IF(AQ113="1",BH113,0)</f>
        <v>0</v>
      </c>
      <c r="AC113" s="52">
        <f>IF(AQ113="1",BI113,0)</f>
        <v>0</v>
      </c>
      <c r="AD113" s="52">
        <f>IF(AQ113="7",BH113,0)</f>
        <v>0</v>
      </c>
      <c r="AE113" s="52">
        <f>IF(AQ113="7",BI113,0)</f>
        <v>0</v>
      </c>
      <c r="AF113" s="52">
        <f>IF(AQ113="2",BH113,0)</f>
        <v>0</v>
      </c>
      <c r="AG113" s="52">
        <f>IF(AQ113="2",BI113,0)</f>
        <v>0</v>
      </c>
      <c r="AH113" s="52">
        <f>IF(AQ113="0",BJ113,0)</f>
        <v>0</v>
      </c>
      <c r="AI113" s="34" t="s">
        <v>344</v>
      </c>
      <c r="AJ113" s="52">
        <f>IF(AN113=0,J113,0)</f>
        <v>0</v>
      </c>
      <c r="AK113" s="52">
        <f>IF(AN113=12,J113,0)</f>
        <v>0</v>
      </c>
      <c r="AL113" s="52">
        <f>IF(AN113=21,J113,0)</f>
        <v>0</v>
      </c>
      <c r="AN113" s="52">
        <v>21</v>
      </c>
      <c r="AO113" s="52">
        <f>G113*0.005671078</f>
        <v>0</v>
      </c>
      <c r="AP113" s="52">
        <f>G113*(1-0.005671078)</f>
        <v>0</v>
      </c>
      <c r="AQ113" s="54" t="s">
        <v>114</v>
      </c>
      <c r="AV113" s="52">
        <f>AW113+AX113</f>
        <v>0</v>
      </c>
      <c r="AW113" s="52">
        <f>F113*AO113</f>
        <v>0</v>
      </c>
      <c r="AX113" s="52">
        <f>F113*AP113</f>
        <v>0</v>
      </c>
      <c r="AY113" s="54" t="s">
        <v>207</v>
      </c>
      <c r="AZ113" s="54" t="s">
        <v>347</v>
      </c>
      <c r="BA113" s="34" t="s">
        <v>348</v>
      </c>
      <c r="BC113" s="52">
        <f>AW113+AX113</f>
        <v>0</v>
      </c>
      <c r="BD113" s="52">
        <f>G113/(100-BE113)*100</f>
        <v>0</v>
      </c>
      <c r="BE113" s="52">
        <v>0</v>
      </c>
      <c r="BF113" s="52">
        <f>113</f>
        <v>113</v>
      </c>
      <c r="BH113" s="52">
        <f>F113*AO113</f>
        <v>0</v>
      </c>
      <c r="BI113" s="52">
        <f>F113*AP113</f>
        <v>0</v>
      </c>
      <c r="BJ113" s="52">
        <f>F113*G113</f>
        <v>0</v>
      </c>
      <c r="BK113" s="52"/>
      <c r="BL113" s="52">
        <v>18</v>
      </c>
      <c r="BW113" s="52">
        <v>21</v>
      </c>
      <c r="BX113" s="3" t="s">
        <v>346</v>
      </c>
    </row>
    <row r="114" spans="1:76" x14ac:dyDescent="0.25">
      <c r="A114" s="1" t="s">
        <v>349</v>
      </c>
      <c r="B114" s="2" t="s">
        <v>350</v>
      </c>
      <c r="C114" s="66" t="s">
        <v>351</v>
      </c>
      <c r="D114" s="67"/>
      <c r="E114" s="2" t="s">
        <v>117</v>
      </c>
      <c r="F114" s="52">
        <v>2487</v>
      </c>
      <c r="G114" s="52">
        <v>0</v>
      </c>
      <c r="H114" s="52">
        <f>F114*AO114</f>
        <v>0</v>
      </c>
      <c r="I114" s="52">
        <f>F114*AP114</f>
        <v>0</v>
      </c>
      <c r="J114" s="52">
        <f>F114*G114</f>
        <v>0</v>
      </c>
      <c r="K114" s="53" t="s">
        <v>125</v>
      </c>
      <c r="Z114" s="52">
        <f>IF(AQ114="5",BJ114,0)</f>
        <v>0</v>
      </c>
      <c r="AB114" s="52">
        <f>IF(AQ114="1",BH114,0)</f>
        <v>0</v>
      </c>
      <c r="AC114" s="52">
        <f>IF(AQ114="1",BI114,0)</f>
        <v>0</v>
      </c>
      <c r="AD114" s="52">
        <f>IF(AQ114="7",BH114,0)</f>
        <v>0</v>
      </c>
      <c r="AE114" s="52">
        <f>IF(AQ114="7",BI114,0)</f>
        <v>0</v>
      </c>
      <c r="AF114" s="52">
        <f>IF(AQ114="2",BH114,0)</f>
        <v>0</v>
      </c>
      <c r="AG114" s="52">
        <f>IF(AQ114="2",BI114,0)</f>
        <v>0</v>
      </c>
      <c r="AH114" s="52">
        <f>IF(AQ114="0",BJ114,0)</f>
        <v>0</v>
      </c>
      <c r="AI114" s="34" t="s">
        <v>344</v>
      </c>
      <c r="AJ114" s="52">
        <f>IF(AN114=0,J114,0)</f>
        <v>0</v>
      </c>
      <c r="AK114" s="52">
        <f>IF(AN114=12,J114,0)</f>
        <v>0</v>
      </c>
      <c r="AL114" s="52">
        <f>IF(AN114=21,J114,0)</f>
        <v>0</v>
      </c>
      <c r="AN114" s="52">
        <v>21</v>
      </c>
      <c r="AO114" s="52">
        <f>G114*0</f>
        <v>0</v>
      </c>
      <c r="AP114" s="52">
        <f>G114*(1-0)</f>
        <v>0</v>
      </c>
      <c r="AQ114" s="54" t="s">
        <v>114</v>
      </c>
      <c r="AV114" s="52">
        <f>AW114+AX114</f>
        <v>0</v>
      </c>
      <c r="AW114" s="52">
        <f>F114*AO114</f>
        <v>0</v>
      </c>
      <c r="AX114" s="52">
        <f>F114*AP114</f>
        <v>0</v>
      </c>
      <c r="AY114" s="54" t="s">
        <v>207</v>
      </c>
      <c r="AZ114" s="54" t="s">
        <v>347</v>
      </c>
      <c r="BA114" s="34" t="s">
        <v>348</v>
      </c>
      <c r="BC114" s="52">
        <f>AW114+AX114</f>
        <v>0</v>
      </c>
      <c r="BD114" s="52">
        <f>G114/(100-BE114)*100</f>
        <v>0</v>
      </c>
      <c r="BE114" s="52">
        <v>0</v>
      </c>
      <c r="BF114" s="52">
        <f>114</f>
        <v>114</v>
      </c>
      <c r="BH114" s="52">
        <f>F114*AO114</f>
        <v>0</v>
      </c>
      <c r="BI114" s="52">
        <f>F114*AP114</f>
        <v>0</v>
      </c>
      <c r="BJ114" s="52">
        <f>F114*G114</f>
        <v>0</v>
      </c>
      <c r="BK114" s="52"/>
      <c r="BL114" s="52">
        <v>18</v>
      </c>
      <c r="BW114" s="52">
        <v>21</v>
      </c>
      <c r="BX114" s="3" t="s">
        <v>351</v>
      </c>
    </row>
    <row r="115" spans="1:76" x14ac:dyDescent="0.25">
      <c r="A115" s="1" t="s">
        <v>352</v>
      </c>
      <c r="B115" s="2" t="s">
        <v>353</v>
      </c>
      <c r="C115" s="66" t="s">
        <v>354</v>
      </c>
      <c r="D115" s="67"/>
      <c r="E115" s="2" t="s">
        <v>117</v>
      </c>
      <c r="F115" s="52">
        <v>4974</v>
      </c>
      <c r="G115" s="52">
        <v>0</v>
      </c>
      <c r="H115" s="52">
        <f>F115*AO115</f>
        <v>0</v>
      </c>
      <c r="I115" s="52">
        <f>F115*AP115</f>
        <v>0</v>
      </c>
      <c r="J115" s="52">
        <f>F115*G115</f>
        <v>0</v>
      </c>
      <c r="K115" s="53" t="s">
        <v>125</v>
      </c>
      <c r="Z115" s="52">
        <f>IF(AQ115="5",BJ115,0)</f>
        <v>0</v>
      </c>
      <c r="AB115" s="52">
        <f>IF(AQ115="1",BH115,0)</f>
        <v>0</v>
      </c>
      <c r="AC115" s="52">
        <f>IF(AQ115="1",BI115,0)</f>
        <v>0</v>
      </c>
      <c r="AD115" s="52">
        <f>IF(AQ115="7",BH115,0)</f>
        <v>0</v>
      </c>
      <c r="AE115" s="52">
        <f>IF(AQ115="7",BI115,0)</f>
        <v>0</v>
      </c>
      <c r="AF115" s="52">
        <f>IF(AQ115="2",BH115,0)</f>
        <v>0</v>
      </c>
      <c r="AG115" s="52">
        <f>IF(AQ115="2",BI115,0)</f>
        <v>0</v>
      </c>
      <c r="AH115" s="52">
        <f>IF(AQ115="0",BJ115,0)</f>
        <v>0</v>
      </c>
      <c r="AI115" s="34" t="s">
        <v>344</v>
      </c>
      <c r="AJ115" s="52">
        <f>IF(AN115=0,J115,0)</f>
        <v>0</v>
      </c>
      <c r="AK115" s="52">
        <f>IF(AN115=12,J115,0)</f>
        <v>0</v>
      </c>
      <c r="AL115" s="52">
        <f>IF(AN115=21,J115,0)</f>
        <v>0</v>
      </c>
      <c r="AN115" s="52">
        <v>21</v>
      </c>
      <c r="AO115" s="52">
        <f>G115*0</f>
        <v>0</v>
      </c>
      <c r="AP115" s="52">
        <f>G115*(1-0)</f>
        <v>0</v>
      </c>
      <c r="AQ115" s="54" t="s">
        <v>114</v>
      </c>
      <c r="AV115" s="52">
        <f>AW115+AX115</f>
        <v>0</v>
      </c>
      <c r="AW115" s="52">
        <f>F115*AO115</f>
        <v>0</v>
      </c>
      <c r="AX115" s="52">
        <f>F115*AP115</f>
        <v>0</v>
      </c>
      <c r="AY115" s="54" t="s">
        <v>207</v>
      </c>
      <c r="AZ115" s="54" t="s">
        <v>347</v>
      </c>
      <c r="BA115" s="34" t="s">
        <v>348</v>
      </c>
      <c r="BC115" s="52">
        <f>AW115+AX115</f>
        <v>0</v>
      </c>
      <c r="BD115" s="52">
        <f>G115/(100-BE115)*100</f>
        <v>0</v>
      </c>
      <c r="BE115" s="52">
        <v>0</v>
      </c>
      <c r="BF115" s="52">
        <f>115</f>
        <v>115</v>
      </c>
      <c r="BH115" s="52">
        <f>F115*AO115</f>
        <v>0</v>
      </c>
      <c r="BI115" s="52">
        <f>F115*AP115</f>
        <v>0</v>
      </c>
      <c r="BJ115" s="52">
        <f>F115*G115</f>
        <v>0</v>
      </c>
      <c r="BK115" s="52"/>
      <c r="BL115" s="52">
        <v>18</v>
      </c>
      <c r="BW115" s="52">
        <v>21</v>
      </c>
      <c r="BX115" s="3" t="s">
        <v>354</v>
      </c>
    </row>
    <row r="116" spans="1:76" x14ac:dyDescent="0.25">
      <c r="A116" s="1" t="s">
        <v>355</v>
      </c>
      <c r="B116" s="2" t="s">
        <v>356</v>
      </c>
      <c r="C116" s="66" t="s">
        <v>357</v>
      </c>
      <c r="D116" s="67"/>
      <c r="E116" s="2" t="s">
        <v>117</v>
      </c>
      <c r="F116" s="52">
        <v>7461</v>
      </c>
      <c r="G116" s="52">
        <v>0</v>
      </c>
      <c r="H116" s="52">
        <f>F116*AO116</f>
        <v>0</v>
      </c>
      <c r="I116" s="52">
        <f>F116*AP116</f>
        <v>0</v>
      </c>
      <c r="J116" s="52">
        <f>F116*G116</f>
        <v>0</v>
      </c>
      <c r="K116" s="53" t="s">
        <v>125</v>
      </c>
      <c r="Z116" s="52">
        <f>IF(AQ116="5",BJ116,0)</f>
        <v>0</v>
      </c>
      <c r="AB116" s="52">
        <f>IF(AQ116="1",BH116,0)</f>
        <v>0</v>
      </c>
      <c r="AC116" s="52">
        <f>IF(AQ116="1",BI116,0)</f>
        <v>0</v>
      </c>
      <c r="AD116" s="52">
        <f>IF(AQ116="7",BH116,0)</f>
        <v>0</v>
      </c>
      <c r="AE116" s="52">
        <f>IF(AQ116="7",BI116,0)</f>
        <v>0</v>
      </c>
      <c r="AF116" s="52">
        <f>IF(AQ116="2",BH116,0)</f>
        <v>0</v>
      </c>
      <c r="AG116" s="52">
        <f>IF(AQ116="2",BI116,0)</f>
        <v>0</v>
      </c>
      <c r="AH116" s="52">
        <f>IF(AQ116="0",BJ116,0)</f>
        <v>0</v>
      </c>
      <c r="AI116" s="34" t="s">
        <v>344</v>
      </c>
      <c r="AJ116" s="52">
        <f>IF(AN116=0,J116,0)</f>
        <v>0</v>
      </c>
      <c r="AK116" s="52">
        <f>IF(AN116=12,J116,0)</f>
        <v>0</v>
      </c>
      <c r="AL116" s="52">
        <f>IF(AN116=21,J116,0)</f>
        <v>0</v>
      </c>
      <c r="AN116" s="52">
        <v>21</v>
      </c>
      <c r="AO116" s="52">
        <f>G116*0</f>
        <v>0</v>
      </c>
      <c r="AP116" s="52">
        <f>G116*(1-0)</f>
        <v>0</v>
      </c>
      <c r="AQ116" s="54" t="s">
        <v>114</v>
      </c>
      <c r="AV116" s="52">
        <f>AW116+AX116</f>
        <v>0</v>
      </c>
      <c r="AW116" s="52">
        <f>F116*AO116</f>
        <v>0</v>
      </c>
      <c r="AX116" s="52">
        <f>F116*AP116</f>
        <v>0</v>
      </c>
      <c r="AY116" s="54" t="s">
        <v>207</v>
      </c>
      <c r="AZ116" s="54" t="s">
        <v>347</v>
      </c>
      <c r="BA116" s="34" t="s">
        <v>348</v>
      </c>
      <c r="BC116" s="52">
        <f>AW116+AX116</f>
        <v>0</v>
      </c>
      <c r="BD116" s="52">
        <f>G116/(100-BE116)*100</f>
        <v>0</v>
      </c>
      <c r="BE116" s="52">
        <v>0</v>
      </c>
      <c r="BF116" s="52">
        <f>116</f>
        <v>116</v>
      </c>
      <c r="BH116" s="52">
        <f>F116*AO116</f>
        <v>0</v>
      </c>
      <c r="BI116" s="52">
        <f>F116*AP116</f>
        <v>0</v>
      </c>
      <c r="BJ116" s="52">
        <f>F116*G116</f>
        <v>0</v>
      </c>
      <c r="BK116" s="52"/>
      <c r="BL116" s="52">
        <v>18</v>
      </c>
      <c r="BW116" s="52">
        <v>21</v>
      </c>
      <c r="BX116" s="3" t="s">
        <v>357</v>
      </c>
    </row>
    <row r="117" spans="1:76" x14ac:dyDescent="0.25">
      <c r="A117" s="1" t="s">
        <v>358</v>
      </c>
      <c r="B117" s="2" t="s">
        <v>359</v>
      </c>
      <c r="C117" s="66" t="s">
        <v>360</v>
      </c>
      <c r="D117" s="67"/>
      <c r="E117" s="2" t="s">
        <v>117</v>
      </c>
      <c r="F117" s="52">
        <v>2487</v>
      </c>
      <c r="G117" s="52">
        <v>0</v>
      </c>
      <c r="H117" s="52">
        <f>F117*AO117</f>
        <v>0</v>
      </c>
      <c r="I117" s="52">
        <f>F117*AP117</f>
        <v>0</v>
      </c>
      <c r="J117" s="52">
        <f>F117*G117</f>
        <v>0</v>
      </c>
      <c r="K117" s="53" t="s">
        <v>125</v>
      </c>
      <c r="Z117" s="52">
        <f>IF(AQ117="5",BJ117,0)</f>
        <v>0</v>
      </c>
      <c r="AB117" s="52">
        <f>IF(AQ117="1",BH117,0)</f>
        <v>0</v>
      </c>
      <c r="AC117" s="52">
        <f>IF(AQ117="1",BI117,0)</f>
        <v>0</v>
      </c>
      <c r="AD117" s="52">
        <f>IF(AQ117="7",BH117,0)</f>
        <v>0</v>
      </c>
      <c r="AE117" s="52">
        <f>IF(AQ117="7",BI117,0)</f>
        <v>0</v>
      </c>
      <c r="AF117" s="52">
        <f>IF(AQ117="2",BH117,0)</f>
        <v>0</v>
      </c>
      <c r="AG117" s="52">
        <f>IF(AQ117="2",BI117,0)</f>
        <v>0</v>
      </c>
      <c r="AH117" s="52">
        <f>IF(AQ117="0",BJ117,0)</f>
        <v>0</v>
      </c>
      <c r="AI117" s="34" t="s">
        <v>344</v>
      </c>
      <c r="AJ117" s="52">
        <f>IF(AN117=0,J117,0)</f>
        <v>0</v>
      </c>
      <c r="AK117" s="52">
        <f>IF(AN117=12,J117,0)</f>
        <v>0</v>
      </c>
      <c r="AL117" s="52">
        <f>IF(AN117=21,J117,0)</f>
        <v>0</v>
      </c>
      <c r="AN117" s="52">
        <v>21</v>
      </c>
      <c r="AO117" s="52">
        <f>G117*0.070714286</f>
        <v>0</v>
      </c>
      <c r="AP117" s="52">
        <f>G117*(1-0.070714286)</f>
        <v>0</v>
      </c>
      <c r="AQ117" s="54" t="s">
        <v>114</v>
      </c>
      <c r="AV117" s="52">
        <f>AW117+AX117</f>
        <v>0</v>
      </c>
      <c r="AW117" s="52">
        <f>F117*AO117</f>
        <v>0</v>
      </c>
      <c r="AX117" s="52">
        <f>F117*AP117</f>
        <v>0</v>
      </c>
      <c r="AY117" s="54" t="s">
        <v>207</v>
      </c>
      <c r="AZ117" s="54" t="s">
        <v>347</v>
      </c>
      <c r="BA117" s="34" t="s">
        <v>348</v>
      </c>
      <c r="BC117" s="52">
        <f>AW117+AX117</f>
        <v>0</v>
      </c>
      <c r="BD117" s="52">
        <f>G117/(100-BE117)*100</f>
        <v>0</v>
      </c>
      <c r="BE117" s="52">
        <v>0</v>
      </c>
      <c r="BF117" s="52">
        <f>117</f>
        <v>117</v>
      </c>
      <c r="BH117" s="52">
        <f>F117*AO117</f>
        <v>0</v>
      </c>
      <c r="BI117" s="52">
        <f>F117*AP117</f>
        <v>0</v>
      </c>
      <c r="BJ117" s="52">
        <f>F117*G117</f>
        <v>0</v>
      </c>
      <c r="BK117" s="52"/>
      <c r="BL117" s="52">
        <v>18</v>
      </c>
      <c r="BW117" s="52">
        <v>21</v>
      </c>
      <c r="BX117" s="3" t="s">
        <v>360</v>
      </c>
    </row>
    <row r="118" spans="1:76" x14ac:dyDescent="0.25">
      <c r="A118" s="48" t="s">
        <v>4</v>
      </c>
      <c r="B118" s="49" t="s">
        <v>244</v>
      </c>
      <c r="C118" s="143" t="s">
        <v>245</v>
      </c>
      <c r="D118" s="144"/>
      <c r="E118" s="50" t="s">
        <v>73</v>
      </c>
      <c r="F118" s="50" t="s">
        <v>73</v>
      </c>
      <c r="G118" s="50" t="s">
        <v>73</v>
      </c>
      <c r="H118" s="28">
        <f>SUM(H119:H119)</f>
        <v>0</v>
      </c>
      <c r="I118" s="28">
        <f>SUM(I119:I119)</f>
        <v>0</v>
      </c>
      <c r="J118" s="28">
        <f>SUM(J119:J119)</f>
        <v>0</v>
      </c>
      <c r="K118" s="51" t="s">
        <v>4</v>
      </c>
      <c r="AI118" s="34" t="s">
        <v>344</v>
      </c>
      <c r="AS118" s="28">
        <f>SUM(AJ119:AJ119)</f>
        <v>0</v>
      </c>
      <c r="AT118" s="28">
        <f>SUM(AK119:AK119)</f>
        <v>0</v>
      </c>
      <c r="AU118" s="28">
        <f>SUM(AL119:AL119)</f>
        <v>0</v>
      </c>
    </row>
    <row r="119" spans="1:76" x14ac:dyDescent="0.25">
      <c r="A119" s="1" t="s">
        <v>361</v>
      </c>
      <c r="B119" s="2" t="s">
        <v>247</v>
      </c>
      <c r="C119" s="66" t="s">
        <v>248</v>
      </c>
      <c r="D119" s="67"/>
      <c r="E119" s="2" t="s">
        <v>249</v>
      </c>
      <c r="F119" s="52">
        <v>0.1</v>
      </c>
      <c r="G119" s="52">
        <v>0</v>
      </c>
      <c r="H119" s="52">
        <f>F119*AO119</f>
        <v>0</v>
      </c>
      <c r="I119" s="52">
        <f>F119*AP119</f>
        <v>0</v>
      </c>
      <c r="J119" s="52">
        <f>F119*G119</f>
        <v>0</v>
      </c>
      <c r="K119" s="53" t="s">
        <v>125</v>
      </c>
      <c r="Z119" s="52">
        <f>IF(AQ119="5",BJ119,0)</f>
        <v>0</v>
      </c>
      <c r="AB119" s="52">
        <f>IF(AQ119="1",BH119,0)</f>
        <v>0</v>
      </c>
      <c r="AC119" s="52">
        <f>IF(AQ119="1",BI119,0)</f>
        <v>0</v>
      </c>
      <c r="AD119" s="52">
        <f>IF(AQ119="7",BH119,0)</f>
        <v>0</v>
      </c>
      <c r="AE119" s="52">
        <f>IF(AQ119="7",BI119,0)</f>
        <v>0</v>
      </c>
      <c r="AF119" s="52">
        <f>IF(AQ119="2",BH119,0)</f>
        <v>0</v>
      </c>
      <c r="AG119" s="52">
        <f>IF(AQ119="2",BI119,0)</f>
        <v>0</v>
      </c>
      <c r="AH119" s="52">
        <f>IF(AQ119="0",BJ119,0)</f>
        <v>0</v>
      </c>
      <c r="AI119" s="34" t="s">
        <v>344</v>
      </c>
      <c r="AJ119" s="52">
        <f>IF(AN119=0,J119,0)</f>
        <v>0</v>
      </c>
      <c r="AK119" s="52">
        <f>IF(AN119=12,J119,0)</f>
        <v>0</v>
      </c>
      <c r="AL119" s="52">
        <f>IF(AN119=21,J119,0)</f>
        <v>0</v>
      </c>
      <c r="AN119" s="52">
        <v>21</v>
      </c>
      <c r="AO119" s="52">
        <f>G119*0</f>
        <v>0</v>
      </c>
      <c r="AP119" s="52">
        <f>G119*(1-0)</f>
        <v>0</v>
      </c>
      <c r="AQ119" s="54" t="s">
        <v>135</v>
      </c>
      <c r="AV119" s="52">
        <f>AW119+AX119</f>
        <v>0</v>
      </c>
      <c r="AW119" s="52">
        <f>F119*AO119</f>
        <v>0</v>
      </c>
      <c r="AX119" s="52">
        <f>F119*AP119</f>
        <v>0</v>
      </c>
      <c r="AY119" s="54" t="s">
        <v>250</v>
      </c>
      <c r="AZ119" s="54" t="s">
        <v>362</v>
      </c>
      <c r="BA119" s="34" t="s">
        <v>348</v>
      </c>
      <c r="BC119" s="52">
        <f>AW119+AX119</f>
        <v>0</v>
      </c>
      <c r="BD119" s="52">
        <f>G119/(100-BE119)*100</f>
        <v>0</v>
      </c>
      <c r="BE119" s="52">
        <v>0</v>
      </c>
      <c r="BF119" s="52">
        <f>119</f>
        <v>119</v>
      </c>
      <c r="BH119" s="52">
        <f>F119*AO119</f>
        <v>0</v>
      </c>
      <c r="BI119" s="52">
        <f>F119*AP119</f>
        <v>0</v>
      </c>
      <c r="BJ119" s="52">
        <f>F119*G119</f>
        <v>0</v>
      </c>
      <c r="BK119" s="52"/>
      <c r="BL119" s="52"/>
      <c r="BW119" s="52">
        <v>21</v>
      </c>
      <c r="BX119" s="3" t="s">
        <v>248</v>
      </c>
    </row>
    <row r="120" spans="1:76" x14ac:dyDescent="0.25">
      <c r="A120" s="48" t="s">
        <v>4</v>
      </c>
      <c r="B120" s="49" t="s">
        <v>252</v>
      </c>
      <c r="C120" s="143" t="s">
        <v>37</v>
      </c>
      <c r="D120" s="144"/>
      <c r="E120" s="50" t="s">
        <v>73</v>
      </c>
      <c r="F120" s="50" t="s">
        <v>73</v>
      </c>
      <c r="G120" s="50" t="s">
        <v>73</v>
      </c>
      <c r="H120" s="28">
        <f>SUM(H121:H122)</f>
        <v>0</v>
      </c>
      <c r="I120" s="28">
        <f>SUM(I121:I122)</f>
        <v>0</v>
      </c>
      <c r="J120" s="28">
        <f>SUM(J121:J122)</f>
        <v>0</v>
      </c>
      <c r="K120" s="51" t="s">
        <v>4</v>
      </c>
      <c r="AI120" s="34" t="s">
        <v>344</v>
      </c>
      <c r="AS120" s="28">
        <f>SUM(AJ121:AJ122)</f>
        <v>0</v>
      </c>
      <c r="AT120" s="28">
        <f>SUM(AK121:AK122)</f>
        <v>0</v>
      </c>
      <c r="AU120" s="28">
        <f>SUM(AL121:AL122)</f>
        <v>0</v>
      </c>
    </row>
    <row r="121" spans="1:76" x14ac:dyDescent="0.25">
      <c r="A121" s="1" t="s">
        <v>363</v>
      </c>
      <c r="B121" s="2" t="s">
        <v>364</v>
      </c>
      <c r="C121" s="66" t="s">
        <v>365</v>
      </c>
      <c r="D121" s="67"/>
      <c r="E121" s="2" t="s">
        <v>300</v>
      </c>
      <c r="F121" s="52">
        <v>69</v>
      </c>
      <c r="G121" s="52">
        <v>0</v>
      </c>
      <c r="H121" s="52">
        <f>F121*AO121</f>
        <v>0</v>
      </c>
      <c r="I121" s="52">
        <f>F121*AP121</f>
        <v>0</v>
      </c>
      <c r="J121" s="52">
        <f>F121*G121</f>
        <v>0</v>
      </c>
      <c r="K121" s="53" t="s">
        <v>4</v>
      </c>
      <c r="Z121" s="52">
        <f>IF(AQ121="5",BJ121,0)</f>
        <v>0</v>
      </c>
      <c r="AB121" s="52">
        <f>IF(AQ121="1",BH121,0)</f>
        <v>0</v>
      </c>
      <c r="AC121" s="52">
        <f>IF(AQ121="1",BI121,0)</f>
        <v>0</v>
      </c>
      <c r="AD121" s="52">
        <f>IF(AQ121="7",BH121,0)</f>
        <v>0</v>
      </c>
      <c r="AE121" s="52">
        <f>IF(AQ121="7",BI121,0)</f>
        <v>0</v>
      </c>
      <c r="AF121" s="52">
        <f>IF(AQ121="2",BH121,0)</f>
        <v>0</v>
      </c>
      <c r="AG121" s="52">
        <f>IF(AQ121="2",BI121,0)</f>
        <v>0</v>
      </c>
      <c r="AH121" s="52">
        <f>IF(AQ121="0",BJ121,0)</f>
        <v>0</v>
      </c>
      <c r="AI121" s="34" t="s">
        <v>344</v>
      </c>
      <c r="AJ121" s="52">
        <f>IF(AN121=0,J121,0)</f>
        <v>0</v>
      </c>
      <c r="AK121" s="52">
        <f>IF(AN121=12,J121,0)</f>
        <v>0</v>
      </c>
      <c r="AL121" s="52">
        <f>IF(AN121=21,J121,0)</f>
        <v>0</v>
      </c>
      <c r="AN121" s="52">
        <v>21</v>
      </c>
      <c r="AO121" s="52">
        <f>G121*1</f>
        <v>0</v>
      </c>
      <c r="AP121" s="52">
        <f>G121*(1-1)</f>
        <v>0</v>
      </c>
      <c r="AQ121" s="54" t="s">
        <v>256</v>
      </c>
      <c r="AV121" s="52">
        <f>AW121+AX121</f>
        <v>0</v>
      </c>
      <c r="AW121" s="52">
        <f>F121*AO121</f>
        <v>0</v>
      </c>
      <c r="AX121" s="52">
        <f>F121*AP121</f>
        <v>0</v>
      </c>
      <c r="AY121" s="54" t="s">
        <v>257</v>
      </c>
      <c r="AZ121" s="54" t="s">
        <v>366</v>
      </c>
      <c r="BA121" s="34" t="s">
        <v>348</v>
      </c>
      <c r="BC121" s="52">
        <f>AW121+AX121</f>
        <v>0</v>
      </c>
      <c r="BD121" s="52">
        <f>G121/(100-BE121)*100</f>
        <v>0</v>
      </c>
      <c r="BE121" s="52">
        <v>0</v>
      </c>
      <c r="BF121" s="52">
        <f>121</f>
        <v>121</v>
      </c>
      <c r="BH121" s="52">
        <f>F121*AO121</f>
        <v>0</v>
      </c>
      <c r="BI121" s="52">
        <f>F121*AP121</f>
        <v>0</v>
      </c>
      <c r="BJ121" s="52">
        <f>F121*G121</f>
        <v>0</v>
      </c>
      <c r="BK121" s="52"/>
      <c r="BL121" s="52"/>
      <c r="BW121" s="52">
        <v>21</v>
      </c>
      <c r="BX121" s="3" t="s">
        <v>365</v>
      </c>
    </row>
    <row r="122" spans="1:76" x14ac:dyDescent="0.25">
      <c r="A122" s="1" t="s">
        <v>367</v>
      </c>
      <c r="B122" s="2" t="s">
        <v>339</v>
      </c>
      <c r="C122" s="66" t="s">
        <v>340</v>
      </c>
      <c r="D122" s="67"/>
      <c r="E122" s="2" t="s">
        <v>341</v>
      </c>
      <c r="F122" s="52">
        <v>1.3</v>
      </c>
      <c r="G122" s="52">
        <v>0</v>
      </c>
      <c r="H122" s="52">
        <f>F122*AO122</f>
        <v>0</v>
      </c>
      <c r="I122" s="52">
        <f>F122*AP122</f>
        <v>0</v>
      </c>
      <c r="J122" s="52">
        <f>F122*G122</f>
        <v>0</v>
      </c>
      <c r="K122" s="53" t="s">
        <v>4</v>
      </c>
      <c r="Z122" s="52">
        <f>IF(AQ122="5",BJ122,0)</f>
        <v>0</v>
      </c>
      <c r="AB122" s="52">
        <f>IF(AQ122="1",BH122,0)</f>
        <v>0</v>
      </c>
      <c r="AC122" s="52">
        <f>IF(AQ122="1",BI122,0)</f>
        <v>0</v>
      </c>
      <c r="AD122" s="52">
        <f>IF(AQ122="7",BH122,0)</f>
        <v>0</v>
      </c>
      <c r="AE122" s="52">
        <f>IF(AQ122="7",BI122,0)</f>
        <v>0</v>
      </c>
      <c r="AF122" s="52">
        <f>IF(AQ122="2",BH122,0)</f>
        <v>0</v>
      </c>
      <c r="AG122" s="52">
        <f>IF(AQ122="2",BI122,0)</f>
        <v>0</v>
      </c>
      <c r="AH122" s="52">
        <f>IF(AQ122="0",BJ122,0)</f>
        <v>0</v>
      </c>
      <c r="AI122" s="34" t="s">
        <v>344</v>
      </c>
      <c r="AJ122" s="52">
        <f>IF(AN122=0,J122,0)</f>
        <v>0</v>
      </c>
      <c r="AK122" s="52">
        <f>IF(AN122=12,J122,0)</f>
        <v>0</v>
      </c>
      <c r="AL122" s="52">
        <f>IF(AN122=21,J122,0)</f>
        <v>0</v>
      </c>
      <c r="AN122" s="52">
        <v>21</v>
      </c>
      <c r="AO122" s="52">
        <f>G122*1</f>
        <v>0</v>
      </c>
      <c r="AP122" s="52">
        <f>G122*(1-1)</f>
        <v>0</v>
      </c>
      <c r="AQ122" s="54" t="s">
        <v>256</v>
      </c>
      <c r="AV122" s="52">
        <f>AW122+AX122</f>
        <v>0</v>
      </c>
      <c r="AW122" s="52">
        <f>F122*AO122</f>
        <v>0</v>
      </c>
      <c r="AX122" s="52">
        <f>F122*AP122</f>
        <v>0</v>
      </c>
      <c r="AY122" s="54" t="s">
        <v>257</v>
      </c>
      <c r="AZ122" s="54" t="s">
        <v>366</v>
      </c>
      <c r="BA122" s="34" t="s">
        <v>348</v>
      </c>
      <c r="BC122" s="52">
        <f>AW122+AX122</f>
        <v>0</v>
      </c>
      <c r="BD122" s="52">
        <f>G122/(100-BE122)*100</f>
        <v>0</v>
      </c>
      <c r="BE122" s="52">
        <v>0</v>
      </c>
      <c r="BF122" s="52">
        <f>122</f>
        <v>122</v>
      </c>
      <c r="BH122" s="52">
        <f>F122*AO122</f>
        <v>0</v>
      </c>
      <c r="BI122" s="52">
        <f>F122*AP122</f>
        <v>0</v>
      </c>
      <c r="BJ122" s="52">
        <f>F122*G122</f>
        <v>0</v>
      </c>
      <c r="BK122" s="52"/>
      <c r="BL122" s="52"/>
      <c r="BW122" s="52">
        <v>21</v>
      </c>
      <c r="BX122" s="3" t="s">
        <v>340</v>
      </c>
    </row>
    <row r="123" spans="1:76" x14ac:dyDescent="0.25">
      <c r="A123" s="57" t="s">
        <v>4</v>
      </c>
      <c r="B123" s="58" t="s">
        <v>4</v>
      </c>
      <c r="C123" s="141" t="s">
        <v>368</v>
      </c>
      <c r="D123" s="142"/>
      <c r="E123" s="59" t="s">
        <v>73</v>
      </c>
      <c r="F123" s="59" t="s">
        <v>73</v>
      </c>
      <c r="G123" s="59" t="s">
        <v>73</v>
      </c>
      <c r="H123" s="60">
        <f>H124+H126+H133+H135</f>
        <v>0</v>
      </c>
      <c r="I123" s="60">
        <f>I124+I126+I133+I135</f>
        <v>0</v>
      </c>
      <c r="J123" s="60">
        <f>J124+J126+J133+J135</f>
        <v>0</v>
      </c>
      <c r="K123" s="61" t="s">
        <v>4</v>
      </c>
    </row>
    <row r="124" spans="1:76" x14ac:dyDescent="0.25">
      <c r="A124" s="48" t="s">
        <v>4</v>
      </c>
      <c r="B124" s="49" t="s">
        <v>111</v>
      </c>
      <c r="C124" s="143" t="s">
        <v>112</v>
      </c>
      <c r="D124" s="144"/>
      <c r="E124" s="50" t="s">
        <v>73</v>
      </c>
      <c r="F124" s="50" t="s">
        <v>73</v>
      </c>
      <c r="G124" s="50" t="s">
        <v>73</v>
      </c>
      <c r="H124" s="28">
        <f>SUM(H125:H125)</f>
        <v>0</v>
      </c>
      <c r="I124" s="28">
        <f>SUM(I125:I125)</f>
        <v>0</v>
      </c>
      <c r="J124" s="28">
        <f>SUM(J125:J125)</f>
        <v>0</v>
      </c>
      <c r="K124" s="51" t="s">
        <v>4</v>
      </c>
      <c r="AI124" s="34" t="s">
        <v>369</v>
      </c>
      <c r="AS124" s="28">
        <f>SUM(AJ125:AJ125)</f>
        <v>0</v>
      </c>
      <c r="AT124" s="28">
        <f>SUM(AK125:AK125)</f>
        <v>0</v>
      </c>
      <c r="AU124" s="28">
        <f>SUM(AL125:AL125)</f>
        <v>0</v>
      </c>
    </row>
    <row r="125" spans="1:76" x14ac:dyDescent="0.25">
      <c r="A125" s="1" t="s">
        <v>370</v>
      </c>
      <c r="B125" s="2" t="s">
        <v>371</v>
      </c>
      <c r="C125" s="66" t="s">
        <v>372</v>
      </c>
      <c r="D125" s="67"/>
      <c r="E125" s="2" t="s">
        <v>117</v>
      </c>
      <c r="F125" s="52">
        <v>5200</v>
      </c>
      <c r="G125" s="52">
        <v>0</v>
      </c>
      <c r="H125" s="52">
        <f>F125*AO125</f>
        <v>0</v>
      </c>
      <c r="I125" s="52">
        <f>F125*AP125</f>
        <v>0</v>
      </c>
      <c r="J125" s="52">
        <f>F125*G125</f>
        <v>0</v>
      </c>
      <c r="K125" s="53" t="s">
        <v>125</v>
      </c>
      <c r="Z125" s="52">
        <f>IF(AQ125="5",BJ125,0)</f>
        <v>0</v>
      </c>
      <c r="AB125" s="52">
        <f>IF(AQ125="1",BH125,0)</f>
        <v>0</v>
      </c>
      <c r="AC125" s="52">
        <f>IF(AQ125="1",BI125,0)</f>
        <v>0</v>
      </c>
      <c r="AD125" s="52">
        <f>IF(AQ125="7",BH125,0)</f>
        <v>0</v>
      </c>
      <c r="AE125" s="52">
        <f>IF(AQ125="7",BI125,0)</f>
        <v>0</v>
      </c>
      <c r="AF125" s="52">
        <f>IF(AQ125="2",BH125,0)</f>
        <v>0</v>
      </c>
      <c r="AG125" s="52">
        <f>IF(AQ125="2",BI125,0)</f>
        <v>0</v>
      </c>
      <c r="AH125" s="52">
        <f>IF(AQ125="0",BJ125,0)</f>
        <v>0</v>
      </c>
      <c r="AI125" s="34" t="s">
        <v>369</v>
      </c>
      <c r="AJ125" s="52">
        <f>IF(AN125=0,J125,0)</f>
        <v>0</v>
      </c>
      <c r="AK125" s="52">
        <f>IF(AN125=12,J125,0)</f>
        <v>0</v>
      </c>
      <c r="AL125" s="52">
        <f>IF(AN125=21,J125,0)</f>
        <v>0</v>
      </c>
      <c r="AN125" s="52">
        <v>21</v>
      </c>
      <c r="AO125" s="52">
        <f>G125*0</f>
        <v>0</v>
      </c>
      <c r="AP125" s="52">
        <f>G125*(1-0)</f>
        <v>0</v>
      </c>
      <c r="AQ125" s="54" t="s">
        <v>114</v>
      </c>
      <c r="AV125" s="52">
        <f>AW125+AX125</f>
        <v>0</v>
      </c>
      <c r="AW125" s="52">
        <f>F125*AO125</f>
        <v>0</v>
      </c>
      <c r="AX125" s="52">
        <f>F125*AP125</f>
        <v>0</v>
      </c>
      <c r="AY125" s="54" t="s">
        <v>118</v>
      </c>
      <c r="AZ125" s="54" t="s">
        <v>373</v>
      </c>
      <c r="BA125" s="34" t="s">
        <v>374</v>
      </c>
      <c r="BC125" s="52">
        <f>AW125+AX125</f>
        <v>0</v>
      </c>
      <c r="BD125" s="52">
        <f>G125/(100-BE125)*100</f>
        <v>0</v>
      </c>
      <c r="BE125" s="52">
        <v>0</v>
      </c>
      <c r="BF125" s="52">
        <f>125</f>
        <v>125</v>
      </c>
      <c r="BH125" s="52">
        <f>F125*AO125</f>
        <v>0</v>
      </c>
      <c r="BI125" s="52">
        <f>F125*AP125</f>
        <v>0</v>
      </c>
      <c r="BJ125" s="52">
        <f>F125*G125</f>
        <v>0</v>
      </c>
      <c r="BK125" s="52"/>
      <c r="BL125" s="52">
        <v>11</v>
      </c>
      <c r="BW125" s="52">
        <v>21</v>
      </c>
      <c r="BX125" s="3" t="s">
        <v>372</v>
      </c>
    </row>
    <row r="126" spans="1:76" x14ac:dyDescent="0.25">
      <c r="A126" s="48" t="s">
        <v>4</v>
      </c>
      <c r="B126" s="49" t="s">
        <v>182</v>
      </c>
      <c r="C126" s="143" t="s">
        <v>203</v>
      </c>
      <c r="D126" s="144"/>
      <c r="E126" s="50" t="s">
        <v>73</v>
      </c>
      <c r="F126" s="50" t="s">
        <v>73</v>
      </c>
      <c r="G126" s="50" t="s">
        <v>73</v>
      </c>
      <c r="H126" s="28">
        <f>SUM(H127:H132)</f>
        <v>0</v>
      </c>
      <c r="I126" s="28">
        <f>SUM(I127:I132)</f>
        <v>0</v>
      </c>
      <c r="J126" s="28">
        <f>SUM(J127:J132)</f>
        <v>0</v>
      </c>
      <c r="K126" s="51" t="s">
        <v>4</v>
      </c>
      <c r="AI126" s="34" t="s">
        <v>369</v>
      </c>
      <c r="AS126" s="28">
        <f>SUM(AJ127:AJ132)</f>
        <v>0</v>
      </c>
      <c r="AT126" s="28">
        <f>SUM(AK127:AK132)</f>
        <v>0</v>
      </c>
      <c r="AU126" s="28">
        <f>SUM(AL127:AL132)</f>
        <v>0</v>
      </c>
    </row>
    <row r="127" spans="1:76" x14ac:dyDescent="0.25">
      <c r="A127" s="1" t="s">
        <v>375</v>
      </c>
      <c r="B127" s="2" t="s">
        <v>376</v>
      </c>
      <c r="C127" s="66" t="s">
        <v>377</v>
      </c>
      <c r="D127" s="67"/>
      <c r="E127" s="2" t="s">
        <v>117</v>
      </c>
      <c r="F127" s="52">
        <v>6350</v>
      </c>
      <c r="G127" s="52">
        <v>0</v>
      </c>
      <c r="H127" s="52">
        <f t="shared" ref="H127:H132" si="68">F127*AO127</f>
        <v>0</v>
      </c>
      <c r="I127" s="52">
        <f t="shared" ref="I127:I132" si="69">F127*AP127</f>
        <v>0</v>
      </c>
      <c r="J127" s="52">
        <f t="shared" ref="J127:J132" si="70">F127*G127</f>
        <v>0</v>
      </c>
      <c r="K127" s="53" t="s">
        <v>125</v>
      </c>
      <c r="Z127" s="52">
        <f t="shared" ref="Z127:Z132" si="71">IF(AQ127="5",BJ127,0)</f>
        <v>0</v>
      </c>
      <c r="AB127" s="52">
        <f t="shared" ref="AB127:AB132" si="72">IF(AQ127="1",BH127,0)</f>
        <v>0</v>
      </c>
      <c r="AC127" s="52">
        <f t="shared" ref="AC127:AC132" si="73">IF(AQ127="1",BI127,0)</f>
        <v>0</v>
      </c>
      <c r="AD127" s="52">
        <f t="shared" ref="AD127:AD132" si="74">IF(AQ127="7",BH127,0)</f>
        <v>0</v>
      </c>
      <c r="AE127" s="52">
        <f t="shared" ref="AE127:AE132" si="75">IF(AQ127="7",BI127,0)</f>
        <v>0</v>
      </c>
      <c r="AF127" s="52">
        <f t="shared" ref="AF127:AF132" si="76">IF(AQ127="2",BH127,0)</f>
        <v>0</v>
      </c>
      <c r="AG127" s="52">
        <f t="shared" ref="AG127:AG132" si="77">IF(AQ127="2",BI127,0)</f>
        <v>0</v>
      </c>
      <c r="AH127" s="52">
        <f t="shared" ref="AH127:AH132" si="78">IF(AQ127="0",BJ127,0)</f>
        <v>0</v>
      </c>
      <c r="AI127" s="34" t="s">
        <v>369</v>
      </c>
      <c r="AJ127" s="52">
        <f t="shared" ref="AJ127:AJ132" si="79">IF(AN127=0,J127,0)</f>
        <v>0</v>
      </c>
      <c r="AK127" s="52">
        <f t="shared" ref="AK127:AK132" si="80">IF(AN127=12,J127,0)</f>
        <v>0</v>
      </c>
      <c r="AL127" s="52">
        <f t="shared" ref="AL127:AL132" si="81">IF(AN127=21,J127,0)</f>
        <v>0</v>
      </c>
      <c r="AN127" s="52">
        <v>21</v>
      </c>
      <c r="AO127" s="52">
        <f>G127*0</f>
        <v>0</v>
      </c>
      <c r="AP127" s="52">
        <f>G127*(1-0)</f>
        <v>0</v>
      </c>
      <c r="AQ127" s="54" t="s">
        <v>114</v>
      </c>
      <c r="AV127" s="52">
        <f t="shared" ref="AV127:AV132" si="82">AW127+AX127</f>
        <v>0</v>
      </c>
      <c r="AW127" s="52">
        <f t="shared" ref="AW127:AW132" si="83">F127*AO127</f>
        <v>0</v>
      </c>
      <c r="AX127" s="52">
        <f t="shared" ref="AX127:AX132" si="84">F127*AP127</f>
        <v>0</v>
      </c>
      <c r="AY127" s="54" t="s">
        <v>207</v>
      </c>
      <c r="AZ127" s="54" t="s">
        <v>373</v>
      </c>
      <c r="BA127" s="34" t="s">
        <v>374</v>
      </c>
      <c r="BC127" s="52">
        <f t="shared" ref="BC127:BC132" si="85">AW127+AX127</f>
        <v>0</v>
      </c>
      <c r="BD127" s="52">
        <f t="shared" ref="BD127:BD132" si="86">G127/(100-BE127)*100</f>
        <v>0</v>
      </c>
      <c r="BE127" s="52">
        <v>0</v>
      </c>
      <c r="BF127" s="52">
        <f>127</f>
        <v>127</v>
      </c>
      <c r="BH127" s="52">
        <f t="shared" ref="BH127:BH132" si="87">F127*AO127</f>
        <v>0</v>
      </c>
      <c r="BI127" s="52">
        <f t="shared" ref="BI127:BI132" si="88">F127*AP127</f>
        <v>0</v>
      </c>
      <c r="BJ127" s="52">
        <f t="shared" ref="BJ127:BJ132" si="89">F127*G127</f>
        <v>0</v>
      </c>
      <c r="BK127" s="52"/>
      <c r="BL127" s="52">
        <v>18</v>
      </c>
      <c r="BW127" s="52">
        <v>21</v>
      </c>
      <c r="BX127" s="3" t="s">
        <v>377</v>
      </c>
    </row>
    <row r="128" spans="1:76" x14ac:dyDescent="0.25">
      <c r="A128" s="1" t="s">
        <v>378</v>
      </c>
      <c r="B128" s="2" t="s">
        <v>379</v>
      </c>
      <c r="C128" s="66" t="s">
        <v>380</v>
      </c>
      <c r="D128" s="67"/>
      <c r="E128" s="2" t="s">
        <v>117</v>
      </c>
      <c r="F128" s="52">
        <v>6350</v>
      </c>
      <c r="G128" s="52">
        <v>0</v>
      </c>
      <c r="H128" s="52">
        <f t="shared" si="68"/>
        <v>0</v>
      </c>
      <c r="I128" s="52">
        <f t="shared" si="69"/>
        <v>0</v>
      </c>
      <c r="J128" s="52">
        <f t="shared" si="70"/>
        <v>0</v>
      </c>
      <c r="K128" s="53" t="s">
        <v>125</v>
      </c>
      <c r="Z128" s="52">
        <f t="shared" si="71"/>
        <v>0</v>
      </c>
      <c r="AB128" s="52">
        <f t="shared" si="72"/>
        <v>0</v>
      </c>
      <c r="AC128" s="52">
        <f t="shared" si="73"/>
        <v>0</v>
      </c>
      <c r="AD128" s="52">
        <f t="shared" si="74"/>
        <v>0</v>
      </c>
      <c r="AE128" s="52">
        <f t="shared" si="75"/>
        <v>0</v>
      </c>
      <c r="AF128" s="52">
        <f t="shared" si="76"/>
        <v>0</v>
      </c>
      <c r="AG128" s="52">
        <f t="shared" si="77"/>
        <v>0</v>
      </c>
      <c r="AH128" s="52">
        <f t="shared" si="78"/>
        <v>0</v>
      </c>
      <c r="AI128" s="34" t="s">
        <v>369</v>
      </c>
      <c r="AJ128" s="52">
        <f t="shared" si="79"/>
        <v>0</v>
      </c>
      <c r="AK128" s="52">
        <f t="shared" si="80"/>
        <v>0</v>
      </c>
      <c r="AL128" s="52">
        <f t="shared" si="81"/>
        <v>0</v>
      </c>
      <c r="AN128" s="52">
        <v>21</v>
      </c>
      <c r="AO128" s="52">
        <f>G128*0</f>
        <v>0</v>
      </c>
      <c r="AP128" s="52">
        <f>G128*(1-0)</f>
        <v>0</v>
      </c>
      <c r="AQ128" s="54" t="s">
        <v>114</v>
      </c>
      <c r="AV128" s="52">
        <f t="shared" si="82"/>
        <v>0</v>
      </c>
      <c r="AW128" s="52">
        <f t="shared" si="83"/>
        <v>0</v>
      </c>
      <c r="AX128" s="52">
        <f t="shared" si="84"/>
        <v>0</v>
      </c>
      <c r="AY128" s="54" t="s">
        <v>207</v>
      </c>
      <c r="AZ128" s="54" t="s">
        <v>373</v>
      </c>
      <c r="BA128" s="34" t="s">
        <v>374</v>
      </c>
      <c r="BC128" s="52">
        <f t="shared" si="85"/>
        <v>0</v>
      </c>
      <c r="BD128" s="52">
        <f t="shared" si="86"/>
        <v>0</v>
      </c>
      <c r="BE128" s="52">
        <v>0</v>
      </c>
      <c r="BF128" s="52">
        <f>128</f>
        <v>128</v>
      </c>
      <c r="BH128" s="52">
        <f t="shared" si="87"/>
        <v>0</v>
      </c>
      <c r="BI128" s="52">
        <f t="shared" si="88"/>
        <v>0</v>
      </c>
      <c r="BJ128" s="52">
        <f t="shared" si="89"/>
        <v>0</v>
      </c>
      <c r="BK128" s="52"/>
      <c r="BL128" s="52">
        <v>18</v>
      </c>
      <c r="BW128" s="52">
        <v>21</v>
      </c>
      <c r="BX128" s="3" t="s">
        <v>380</v>
      </c>
    </row>
    <row r="129" spans="1:76" x14ac:dyDescent="0.25">
      <c r="A129" s="1" t="s">
        <v>381</v>
      </c>
      <c r="B129" s="2" t="s">
        <v>382</v>
      </c>
      <c r="C129" s="66" t="s">
        <v>383</v>
      </c>
      <c r="D129" s="67"/>
      <c r="E129" s="2" t="s">
        <v>117</v>
      </c>
      <c r="F129" s="52">
        <v>6350</v>
      </c>
      <c r="G129" s="52">
        <v>0</v>
      </c>
      <c r="H129" s="52">
        <f t="shared" si="68"/>
        <v>0</v>
      </c>
      <c r="I129" s="52">
        <f t="shared" si="69"/>
        <v>0</v>
      </c>
      <c r="J129" s="52">
        <f t="shared" si="70"/>
        <v>0</v>
      </c>
      <c r="K129" s="53" t="s">
        <v>125</v>
      </c>
      <c r="Z129" s="52">
        <f t="shared" si="71"/>
        <v>0</v>
      </c>
      <c r="AB129" s="52">
        <f t="shared" si="72"/>
        <v>0</v>
      </c>
      <c r="AC129" s="52">
        <f t="shared" si="73"/>
        <v>0</v>
      </c>
      <c r="AD129" s="52">
        <f t="shared" si="74"/>
        <v>0</v>
      </c>
      <c r="AE129" s="52">
        <f t="shared" si="75"/>
        <v>0</v>
      </c>
      <c r="AF129" s="52">
        <f t="shared" si="76"/>
        <v>0</v>
      </c>
      <c r="AG129" s="52">
        <f t="shared" si="77"/>
        <v>0</v>
      </c>
      <c r="AH129" s="52">
        <f t="shared" si="78"/>
        <v>0</v>
      </c>
      <c r="AI129" s="34" t="s">
        <v>369</v>
      </c>
      <c r="AJ129" s="52">
        <f t="shared" si="79"/>
        <v>0</v>
      </c>
      <c r="AK129" s="52">
        <f t="shared" si="80"/>
        <v>0</v>
      </c>
      <c r="AL129" s="52">
        <f t="shared" si="81"/>
        <v>0</v>
      </c>
      <c r="AN129" s="52">
        <v>21</v>
      </c>
      <c r="AO129" s="52">
        <f>G129*0</f>
        <v>0</v>
      </c>
      <c r="AP129" s="52">
        <f>G129*(1-0)</f>
        <v>0</v>
      </c>
      <c r="AQ129" s="54" t="s">
        <v>114</v>
      </c>
      <c r="AV129" s="52">
        <f t="shared" si="82"/>
        <v>0</v>
      </c>
      <c r="AW129" s="52">
        <f t="shared" si="83"/>
        <v>0</v>
      </c>
      <c r="AX129" s="52">
        <f t="shared" si="84"/>
        <v>0</v>
      </c>
      <c r="AY129" s="54" t="s">
        <v>207</v>
      </c>
      <c r="AZ129" s="54" t="s">
        <v>373</v>
      </c>
      <c r="BA129" s="34" t="s">
        <v>374</v>
      </c>
      <c r="BC129" s="52">
        <f t="shared" si="85"/>
        <v>0</v>
      </c>
      <c r="BD129" s="52">
        <f t="shared" si="86"/>
        <v>0</v>
      </c>
      <c r="BE129" s="52">
        <v>0</v>
      </c>
      <c r="BF129" s="52">
        <f>129</f>
        <v>129</v>
      </c>
      <c r="BH129" s="52">
        <f t="shared" si="87"/>
        <v>0</v>
      </c>
      <c r="BI129" s="52">
        <f t="shared" si="88"/>
        <v>0</v>
      </c>
      <c r="BJ129" s="52">
        <f t="shared" si="89"/>
        <v>0</v>
      </c>
      <c r="BK129" s="52"/>
      <c r="BL129" s="52">
        <v>18</v>
      </c>
      <c r="BW129" s="52">
        <v>21</v>
      </c>
      <c r="BX129" s="3" t="s">
        <v>383</v>
      </c>
    </row>
    <row r="130" spans="1:76" x14ac:dyDescent="0.25">
      <c r="A130" s="1" t="s">
        <v>384</v>
      </c>
      <c r="B130" s="2" t="s">
        <v>385</v>
      </c>
      <c r="C130" s="66" t="s">
        <v>386</v>
      </c>
      <c r="D130" s="67"/>
      <c r="E130" s="2" t="s">
        <v>117</v>
      </c>
      <c r="F130" s="52">
        <v>6350</v>
      </c>
      <c r="G130" s="52">
        <v>0</v>
      </c>
      <c r="H130" s="52">
        <f t="shared" si="68"/>
        <v>0</v>
      </c>
      <c r="I130" s="52">
        <f t="shared" si="69"/>
        <v>0</v>
      </c>
      <c r="J130" s="52">
        <f t="shared" si="70"/>
        <v>0</v>
      </c>
      <c r="K130" s="53" t="s">
        <v>125</v>
      </c>
      <c r="Z130" s="52">
        <f t="shared" si="71"/>
        <v>0</v>
      </c>
      <c r="AB130" s="52">
        <f t="shared" si="72"/>
        <v>0</v>
      </c>
      <c r="AC130" s="52">
        <f t="shared" si="73"/>
        <v>0</v>
      </c>
      <c r="AD130" s="52">
        <f t="shared" si="74"/>
        <v>0</v>
      </c>
      <c r="AE130" s="52">
        <f t="shared" si="75"/>
        <v>0</v>
      </c>
      <c r="AF130" s="52">
        <f t="shared" si="76"/>
        <v>0</v>
      </c>
      <c r="AG130" s="52">
        <f t="shared" si="77"/>
        <v>0</v>
      </c>
      <c r="AH130" s="52">
        <f t="shared" si="78"/>
        <v>0</v>
      </c>
      <c r="AI130" s="34" t="s">
        <v>369</v>
      </c>
      <c r="AJ130" s="52">
        <f t="shared" si="79"/>
        <v>0</v>
      </c>
      <c r="AK130" s="52">
        <f t="shared" si="80"/>
        <v>0</v>
      </c>
      <c r="AL130" s="52">
        <f t="shared" si="81"/>
        <v>0</v>
      </c>
      <c r="AN130" s="52">
        <v>21</v>
      </c>
      <c r="AO130" s="52">
        <f>G130*0</f>
        <v>0</v>
      </c>
      <c r="AP130" s="52">
        <f>G130*(1-0)</f>
        <v>0</v>
      </c>
      <c r="AQ130" s="54" t="s">
        <v>114</v>
      </c>
      <c r="AV130" s="52">
        <f t="shared" si="82"/>
        <v>0</v>
      </c>
      <c r="AW130" s="52">
        <f t="shared" si="83"/>
        <v>0</v>
      </c>
      <c r="AX130" s="52">
        <f t="shared" si="84"/>
        <v>0</v>
      </c>
      <c r="AY130" s="54" t="s">
        <v>207</v>
      </c>
      <c r="AZ130" s="54" t="s">
        <v>373</v>
      </c>
      <c r="BA130" s="34" t="s">
        <v>374</v>
      </c>
      <c r="BC130" s="52">
        <f t="shared" si="85"/>
        <v>0</v>
      </c>
      <c r="BD130" s="52">
        <f t="shared" si="86"/>
        <v>0</v>
      </c>
      <c r="BE130" s="52">
        <v>0</v>
      </c>
      <c r="BF130" s="52">
        <f>130</f>
        <v>130</v>
      </c>
      <c r="BH130" s="52">
        <f t="shared" si="87"/>
        <v>0</v>
      </c>
      <c r="BI130" s="52">
        <f t="shared" si="88"/>
        <v>0</v>
      </c>
      <c r="BJ130" s="52">
        <f t="shared" si="89"/>
        <v>0</v>
      </c>
      <c r="BK130" s="52"/>
      <c r="BL130" s="52">
        <v>18</v>
      </c>
      <c r="BW130" s="52">
        <v>21</v>
      </c>
      <c r="BX130" s="3" t="s">
        <v>386</v>
      </c>
    </row>
    <row r="131" spans="1:76" x14ac:dyDescent="0.25">
      <c r="A131" s="1" t="s">
        <v>387</v>
      </c>
      <c r="B131" s="2" t="s">
        <v>388</v>
      </c>
      <c r="C131" s="66" t="s">
        <v>389</v>
      </c>
      <c r="D131" s="67"/>
      <c r="E131" s="2" t="s">
        <v>117</v>
      </c>
      <c r="F131" s="52">
        <v>6350</v>
      </c>
      <c r="G131" s="52">
        <v>0</v>
      </c>
      <c r="H131" s="52">
        <f t="shared" si="68"/>
        <v>0</v>
      </c>
      <c r="I131" s="52">
        <f t="shared" si="69"/>
        <v>0</v>
      </c>
      <c r="J131" s="52">
        <f t="shared" si="70"/>
        <v>0</v>
      </c>
      <c r="K131" s="53" t="s">
        <v>125</v>
      </c>
      <c r="Z131" s="52">
        <f t="shared" si="71"/>
        <v>0</v>
      </c>
      <c r="AB131" s="52">
        <f t="shared" si="72"/>
        <v>0</v>
      </c>
      <c r="AC131" s="52">
        <f t="shared" si="73"/>
        <v>0</v>
      </c>
      <c r="AD131" s="52">
        <f t="shared" si="74"/>
        <v>0</v>
      </c>
      <c r="AE131" s="52">
        <f t="shared" si="75"/>
        <v>0</v>
      </c>
      <c r="AF131" s="52">
        <f t="shared" si="76"/>
        <v>0</v>
      </c>
      <c r="AG131" s="52">
        <f t="shared" si="77"/>
        <v>0</v>
      </c>
      <c r="AH131" s="52">
        <f t="shared" si="78"/>
        <v>0</v>
      </c>
      <c r="AI131" s="34" t="s">
        <v>369</v>
      </c>
      <c r="AJ131" s="52">
        <f t="shared" si="79"/>
        <v>0</v>
      </c>
      <c r="AK131" s="52">
        <f t="shared" si="80"/>
        <v>0</v>
      </c>
      <c r="AL131" s="52">
        <f t="shared" si="81"/>
        <v>0</v>
      </c>
      <c r="AN131" s="52">
        <v>21</v>
      </c>
      <c r="AO131" s="52">
        <f>G131*0</f>
        <v>0</v>
      </c>
      <c r="AP131" s="52">
        <f>G131*(1-0)</f>
        <v>0</v>
      </c>
      <c r="AQ131" s="54" t="s">
        <v>114</v>
      </c>
      <c r="AV131" s="52">
        <f t="shared" si="82"/>
        <v>0</v>
      </c>
      <c r="AW131" s="52">
        <f t="shared" si="83"/>
        <v>0</v>
      </c>
      <c r="AX131" s="52">
        <f t="shared" si="84"/>
        <v>0</v>
      </c>
      <c r="AY131" s="54" t="s">
        <v>207</v>
      </c>
      <c r="AZ131" s="54" t="s">
        <v>373</v>
      </c>
      <c r="BA131" s="34" t="s">
        <v>374</v>
      </c>
      <c r="BC131" s="52">
        <f t="shared" si="85"/>
        <v>0</v>
      </c>
      <c r="BD131" s="52">
        <f t="shared" si="86"/>
        <v>0</v>
      </c>
      <c r="BE131" s="52">
        <v>0</v>
      </c>
      <c r="BF131" s="52">
        <f>131</f>
        <v>131</v>
      </c>
      <c r="BH131" s="52">
        <f t="shared" si="87"/>
        <v>0</v>
      </c>
      <c r="BI131" s="52">
        <f t="shared" si="88"/>
        <v>0</v>
      </c>
      <c r="BJ131" s="52">
        <f t="shared" si="89"/>
        <v>0</v>
      </c>
      <c r="BK131" s="52"/>
      <c r="BL131" s="52">
        <v>18</v>
      </c>
      <c r="BW131" s="52">
        <v>21</v>
      </c>
      <c r="BX131" s="3" t="s">
        <v>389</v>
      </c>
    </row>
    <row r="132" spans="1:76" x14ac:dyDescent="0.25">
      <c r="A132" s="1" t="s">
        <v>390</v>
      </c>
      <c r="B132" s="2" t="s">
        <v>391</v>
      </c>
      <c r="C132" s="66" t="s">
        <v>392</v>
      </c>
      <c r="D132" s="67"/>
      <c r="E132" s="2" t="s">
        <v>117</v>
      </c>
      <c r="F132" s="52">
        <v>6350</v>
      </c>
      <c r="G132" s="52">
        <v>0</v>
      </c>
      <c r="H132" s="52">
        <f t="shared" si="68"/>
        <v>0</v>
      </c>
      <c r="I132" s="52">
        <f t="shared" si="69"/>
        <v>0</v>
      </c>
      <c r="J132" s="52">
        <f t="shared" si="70"/>
        <v>0</v>
      </c>
      <c r="K132" s="53" t="s">
        <v>125</v>
      </c>
      <c r="Z132" s="52">
        <f t="shared" si="71"/>
        <v>0</v>
      </c>
      <c r="AB132" s="52">
        <f t="shared" si="72"/>
        <v>0</v>
      </c>
      <c r="AC132" s="52">
        <f t="shared" si="73"/>
        <v>0</v>
      </c>
      <c r="AD132" s="52">
        <f t="shared" si="74"/>
        <v>0</v>
      </c>
      <c r="AE132" s="52">
        <f t="shared" si="75"/>
        <v>0</v>
      </c>
      <c r="AF132" s="52">
        <f t="shared" si="76"/>
        <v>0</v>
      </c>
      <c r="AG132" s="52">
        <f t="shared" si="77"/>
        <v>0</v>
      </c>
      <c r="AH132" s="52">
        <f t="shared" si="78"/>
        <v>0</v>
      </c>
      <c r="AI132" s="34" t="s">
        <v>369</v>
      </c>
      <c r="AJ132" s="52">
        <f t="shared" si="79"/>
        <v>0</v>
      </c>
      <c r="AK132" s="52">
        <f t="shared" si="80"/>
        <v>0</v>
      </c>
      <c r="AL132" s="52">
        <f t="shared" si="81"/>
        <v>0</v>
      </c>
      <c r="AN132" s="52">
        <v>21</v>
      </c>
      <c r="AO132" s="52">
        <f>G132*0.067272727</f>
        <v>0</v>
      </c>
      <c r="AP132" s="52">
        <f>G132*(1-0.067272727)</f>
        <v>0</v>
      </c>
      <c r="AQ132" s="54" t="s">
        <v>114</v>
      </c>
      <c r="AV132" s="52">
        <f t="shared" si="82"/>
        <v>0</v>
      </c>
      <c r="AW132" s="52">
        <f t="shared" si="83"/>
        <v>0</v>
      </c>
      <c r="AX132" s="52">
        <f t="shared" si="84"/>
        <v>0</v>
      </c>
      <c r="AY132" s="54" t="s">
        <v>207</v>
      </c>
      <c r="AZ132" s="54" t="s">
        <v>373</v>
      </c>
      <c r="BA132" s="34" t="s">
        <v>374</v>
      </c>
      <c r="BC132" s="52">
        <f t="shared" si="85"/>
        <v>0</v>
      </c>
      <c r="BD132" s="52">
        <f t="shared" si="86"/>
        <v>0</v>
      </c>
      <c r="BE132" s="52">
        <v>0</v>
      </c>
      <c r="BF132" s="52">
        <f>132</f>
        <v>132</v>
      </c>
      <c r="BH132" s="52">
        <f t="shared" si="87"/>
        <v>0</v>
      </c>
      <c r="BI132" s="52">
        <f t="shared" si="88"/>
        <v>0</v>
      </c>
      <c r="BJ132" s="52">
        <f t="shared" si="89"/>
        <v>0</v>
      </c>
      <c r="BK132" s="52"/>
      <c r="BL132" s="52">
        <v>18</v>
      </c>
      <c r="BW132" s="52">
        <v>21</v>
      </c>
      <c r="BX132" s="3" t="s">
        <v>392</v>
      </c>
    </row>
    <row r="133" spans="1:76" x14ac:dyDescent="0.25">
      <c r="A133" s="48" t="s">
        <v>4</v>
      </c>
      <c r="B133" s="49" t="s">
        <v>244</v>
      </c>
      <c r="C133" s="143" t="s">
        <v>245</v>
      </c>
      <c r="D133" s="144"/>
      <c r="E133" s="50" t="s">
        <v>73</v>
      </c>
      <c r="F133" s="50" t="s">
        <v>73</v>
      </c>
      <c r="G133" s="50" t="s">
        <v>73</v>
      </c>
      <c r="H133" s="28">
        <f>SUM(H134:H134)</f>
        <v>0</v>
      </c>
      <c r="I133" s="28">
        <f>SUM(I134:I134)</f>
        <v>0</v>
      </c>
      <c r="J133" s="28">
        <f>SUM(J134:J134)</f>
        <v>0</v>
      </c>
      <c r="K133" s="51" t="s">
        <v>4</v>
      </c>
      <c r="AI133" s="34" t="s">
        <v>369</v>
      </c>
      <c r="AS133" s="28">
        <f>SUM(AJ134:AJ134)</f>
        <v>0</v>
      </c>
      <c r="AT133" s="28">
        <f>SUM(AK134:AK134)</f>
        <v>0</v>
      </c>
      <c r="AU133" s="28">
        <f>SUM(AL134:AL134)</f>
        <v>0</v>
      </c>
    </row>
    <row r="134" spans="1:76" x14ac:dyDescent="0.25">
      <c r="A134" s="1" t="s">
        <v>393</v>
      </c>
      <c r="B134" s="2" t="s">
        <v>247</v>
      </c>
      <c r="C134" s="66" t="s">
        <v>248</v>
      </c>
      <c r="D134" s="67"/>
      <c r="E134" s="2" t="s">
        <v>249</v>
      </c>
      <c r="F134" s="52">
        <v>0.1</v>
      </c>
      <c r="G134" s="52">
        <v>0</v>
      </c>
      <c r="H134" s="52">
        <f>F134*AO134</f>
        <v>0</v>
      </c>
      <c r="I134" s="52">
        <f>F134*AP134</f>
        <v>0</v>
      </c>
      <c r="J134" s="52">
        <f>F134*G134</f>
        <v>0</v>
      </c>
      <c r="K134" s="53" t="s">
        <v>125</v>
      </c>
      <c r="Z134" s="52">
        <f>IF(AQ134="5",BJ134,0)</f>
        <v>0</v>
      </c>
      <c r="AB134" s="52">
        <f>IF(AQ134="1",BH134,0)</f>
        <v>0</v>
      </c>
      <c r="AC134" s="52">
        <f>IF(AQ134="1",BI134,0)</f>
        <v>0</v>
      </c>
      <c r="AD134" s="52">
        <f>IF(AQ134="7",BH134,0)</f>
        <v>0</v>
      </c>
      <c r="AE134" s="52">
        <f>IF(AQ134="7",BI134,0)</f>
        <v>0</v>
      </c>
      <c r="AF134" s="52">
        <f>IF(AQ134="2",BH134,0)</f>
        <v>0</v>
      </c>
      <c r="AG134" s="52">
        <f>IF(AQ134="2",BI134,0)</f>
        <v>0</v>
      </c>
      <c r="AH134" s="52">
        <f>IF(AQ134="0",BJ134,0)</f>
        <v>0</v>
      </c>
      <c r="AI134" s="34" t="s">
        <v>369</v>
      </c>
      <c r="AJ134" s="52">
        <f>IF(AN134=0,J134,0)</f>
        <v>0</v>
      </c>
      <c r="AK134" s="52">
        <f>IF(AN134=12,J134,0)</f>
        <v>0</v>
      </c>
      <c r="AL134" s="52">
        <f>IF(AN134=21,J134,0)</f>
        <v>0</v>
      </c>
      <c r="AN134" s="52">
        <v>21</v>
      </c>
      <c r="AO134" s="52">
        <f>G134*0</f>
        <v>0</v>
      </c>
      <c r="AP134" s="52">
        <f>G134*(1-0)</f>
        <v>0</v>
      </c>
      <c r="AQ134" s="54" t="s">
        <v>135</v>
      </c>
      <c r="AV134" s="52">
        <f>AW134+AX134</f>
        <v>0</v>
      </c>
      <c r="AW134" s="52">
        <f>F134*AO134</f>
        <v>0</v>
      </c>
      <c r="AX134" s="52">
        <f>F134*AP134</f>
        <v>0</v>
      </c>
      <c r="AY134" s="54" t="s">
        <v>250</v>
      </c>
      <c r="AZ134" s="54" t="s">
        <v>394</v>
      </c>
      <c r="BA134" s="34" t="s">
        <v>374</v>
      </c>
      <c r="BC134" s="52">
        <f>AW134+AX134</f>
        <v>0</v>
      </c>
      <c r="BD134" s="52">
        <f>G134/(100-BE134)*100</f>
        <v>0</v>
      </c>
      <c r="BE134" s="52">
        <v>0</v>
      </c>
      <c r="BF134" s="52">
        <f>134</f>
        <v>134</v>
      </c>
      <c r="BH134" s="52">
        <f>F134*AO134</f>
        <v>0</v>
      </c>
      <c r="BI134" s="52">
        <f>F134*AP134</f>
        <v>0</v>
      </c>
      <c r="BJ134" s="52">
        <f>F134*G134</f>
        <v>0</v>
      </c>
      <c r="BK134" s="52"/>
      <c r="BL134" s="52"/>
      <c r="BW134" s="52">
        <v>21</v>
      </c>
      <c r="BX134" s="3" t="s">
        <v>248</v>
      </c>
    </row>
    <row r="135" spans="1:76" x14ac:dyDescent="0.25">
      <c r="A135" s="48" t="s">
        <v>4</v>
      </c>
      <c r="B135" s="49" t="s">
        <v>252</v>
      </c>
      <c r="C135" s="143" t="s">
        <v>37</v>
      </c>
      <c r="D135" s="144"/>
      <c r="E135" s="50" t="s">
        <v>73</v>
      </c>
      <c r="F135" s="50" t="s">
        <v>73</v>
      </c>
      <c r="G135" s="50" t="s">
        <v>73</v>
      </c>
      <c r="H135" s="28">
        <f>SUM(H136:H136)</f>
        <v>0</v>
      </c>
      <c r="I135" s="28">
        <f>SUM(I136:I136)</f>
        <v>0</v>
      </c>
      <c r="J135" s="28">
        <f>SUM(J136:J136)</f>
        <v>0</v>
      </c>
      <c r="K135" s="51" t="s">
        <v>4</v>
      </c>
      <c r="AI135" s="34" t="s">
        <v>369</v>
      </c>
      <c r="AS135" s="28">
        <f>SUM(AJ136:AJ136)</f>
        <v>0</v>
      </c>
      <c r="AT135" s="28">
        <f>SUM(AK136:AK136)</f>
        <v>0</v>
      </c>
      <c r="AU135" s="28">
        <f>SUM(AL136:AL136)</f>
        <v>0</v>
      </c>
    </row>
    <row r="136" spans="1:76" x14ac:dyDescent="0.25">
      <c r="A136" s="1" t="s">
        <v>395</v>
      </c>
      <c r="B136" s="2" t="s">
        <v>364</v>
      </c>
      <c r="C136" s="66" t="s">
        <v>396</v>
      </c>
      <c r="D136" s="67"/>
      <c r="E136" s="2" t="s">
        <v>300</v>
      </c>
      <c r="F136" s="52">
        <v>127</v>
      </c>
      <c r="G136" s="52">
        <v>0</v>
      </c>
      <c r="H136" s="52">
        <f>F136*AO136</f>
        <v>0</v>
      </c>
      <c r="I136" s="52">
        <f>F136*AP136</f>
        <v>0</v>
      </c>
      <c r="J136" s="52">
        <f>F136*G136</f>
        <v>0</v>
      </c>
      <c r="K136" s="53" t="s">
        <v>4</v>
      </c>
      <c r="Z136" s="52">
        <f>IF(AQ136="5",BJ136,0)</f>
        <v>0</v>
      </c>
      <c r="AB136" s="52">
        <f>IF(AQ136="1",BH136,0)</f>
        <v>0</v>
      </c>
      <c r="AC136" s="52">
        <f>IF(AQ136="1",BI136,0)</f>
        <v>0</v>
      </c>
      <c r="AD136" s="52">
        <f>IF(AQ136="7",BH136,0)</f>
        <v>0</v>
      </c>
      <c r="AE136" s="52">
        <f>IF(AQ136="7",BI136,0)</f>
        <v>0</v>
      </c>
      <c r="AF136" s="52">
        <f>IF(AQ136="2",BH136,0)</f>
        <v>0</v>
      </c>
      <c r="AG136" s="52">
        <f>IF(AQ136="2",BI136,0)</f>
        <v>0</v>
      </c>
      <c r="AH136" s="52">
        <f>IF(AQ136="0",BJ136,0)</f>
        <v>0</v>
      </c>
      <c r="AI136" s="34" t="s">
        <v>369</v>
      </c>
      <c r="AJ136" s="52">
        <f>IF(AN136=0,J136,0)</f>
        <v>0</v>
      </c>
      <c r="AK136" s="52">
        <f>IF(AN136=12,J136,0)</f>
        <v>0</v>
      </c>
      <c r="AL136" s="52">
        <f>IF(AN136=21,J136,0)</f>
        <v>0</v>
      </c>
      <c r="AN136" s="52">
        <v>21</v>
      </c>
      <c r="AO136" s="52">
        <f>G136*1</f>
        <v>0</v>
      </c>
      <c r="AP136" s="52">
        <f>G136*(1-1)</f>
        <v>0</v>
      </c>
      <c r="AQ136" s="54" t="s">
        <v>256</v>
      </c>
      <c r="AV136" s="52">
        <f>AW136+AX136</f>
        <v>0</v>
      </c>
      <c r="AW136" s="52">
        <f>F136*AO136</f>
        <v>0</v>
      </c>
      <c r="AX136" s="52">
        <f>F136*AP136</f>
        <v>0</v>
      </c>
      <c r="AY136" s="54" t="s">
        <v>257</v>
      </c>
      <c r="AZ136" s="54" t="s">
        <v>397</v>
      </c>
      <c r="BA136" s="34" t="s">
        <v>374</v>
      </c>
      <c r="BC136" s="52">
        <f>AW136+AX136</f>
        <v>0</v>
      </c>
      <c r="BD136" s="52">
        <f>G136/(100-BE136)*100</f>
        <v>0</v>
      </c>
      <c r="BE136" s="52">
        <v>0</v>
      </c>
      <c r="BF136" s="52">
        <f>136</f>
        <v>136</v>
      </c>
      <c r="BH136" s="52">
        <f>F136*AO136</f>
        <v>0</v>
      </c>
      <c r="BI136" s="52">
        <f>F136*AP136</f>
        <v>0</v>
      </c>
      <c r="BJ136" s="52">
        <f>F136*G136</f>
        <v>0</v>
      </c>
      <c r="BK136" s="52"/>
      <c r="BL136" s="52"/>
      <c r="BW136" s="52">
        <v>21</v>
      </c>
      <c r="BX136" s="3" t="s">
        <v>396</v>
      </c>
    </row>
    <row r="137" spans="1:76" x14ac:dyDescent="0.25">
      <c r="A137" s="57" t="s">
        <v>4</v>
      </c>
      <c r="B137" s="58" t="s">
        <v>4</v>
      </c>
      <c r="C137" s="141" t="s">
        <v>398</v>
      </c>
      <c r="D137" s="142"/>
      <c r="E137" s="59" t="s">
        <v>73</v>
      </c>
      <c r="F137" s="59" t="s">
        <v>73</v>
      </c>
      <c r="G137" s="59" t="s">
        <v>73</v>
      </c>
      <c r="H137" s="60">
        <f>H138</f>
        <v>0</v>
      </c>
      <c r="I137" s="60">
        <f>I138</f>
        <v>0</v>
      </c>
      <c r="J137" s="60">
        <f>J138</f>
        <v>0</v>
      </c>
      <c r="K137" s="61" t="s">
        <v>4</v>
      </c>
    </row>
    <row r="138" spans="1:76" x14ac:dyDescent="0.25">
      <c r="A138" s="48" t="s">
        <v>4</v>
      </c>
      <c r="B138" s="49" t="s">
        <v>182</v>
      </c>
      <c r="C138" s="143" t="s">
        <v>203</v>
      </c>
      <c r="D138" s="144"/>
      <c r="E138" s="50" t="s">
        <v>73</v>
      </c>
      <c r="F138" s="50" t="s">
        <v>73</v>
      </c>
      <c r="G138" s="50" t="s">
        <v>73</v>
      </c>
      <c r="H138" s="28">
        <f>SUM(H139:H145)</f>
        <v>0</v>
      </c>
      <c r="I138" s="28">
        <f>SUM(I139:I145)</f>
        <v>0</v>
      </c>
      <c r="J138" s="28">
        <f>SUM(J139:J145)</f>
        <v>0</v>
      </c>
      <c r="K138" s="51" t="s">
        <v>4</v>
      </c>
      <c r="AI138" s="34" t="s">
        <v>399</v>
      </c>
      <c r="AS138" s="28">
        <f>SUM(AJ139:AJ145)</f>
        <v>0</v>
      </c>
      <c r="AT138" s="28">
        <f>SUM(AK139:AK145)</f>
        <v>0</v>
      </c>
      <c r="AU138" s="28">
        <f>SUM(AL139:AL145)</f>
        <v>0</v>
      </c>
    </row>
    <row r="139" spans="1:76" x14ac:dyDescent="0.25">
      <c r="A139" s="1" t="s">
        <v>400</v>
      </c>
      <c r="B139" s="2" t="s">
        <v>401</v>
      </c>
      <c r="C139" s="66" t="s">
        <v>402</v>
      </c>
      <c r="D139" s="67"/>
      <c r="E139" s="2" t="s">
        <v>231</v>
      </c>
      <c r="F139" s="52">
        <v>1194</v>
      </c>
      <c r="G139" s="52">
        <v>0</v>
      </c>
      <c r="H139" s="52">
        <f>F139*AO139</f>
        <v>0</v>
      </c>
      <c r="I139" s="52">
        <f>F139*AP139</f>
        <v>0</v>
      </c>
      <c r="J139" s="52">
        <f>F139*G139</f>
        <v>0</v>
      </c>
      <c r="K139" s="53" t="s">
        <v>4</v>
      </c>
      <c r="Z139" s="52">
        <f>IF(AQ139="5",BJ139,0)</f>
        <v>0</v>
      </c>
      <c r="AB139" s="52">
        <f>IF(AQ139="1",BH139,0)</f>
        <v>0</v>
      </c>
      <c r="AC139" s="52">
        <f>IF(AQ139="1",BI139,0)</f>
        <v>0</v>
      </c>
      <c r="AD139" s="52">
        <f>IF(AQ139="7",BH139,0)</f>
        <v>0</v>
      </c>
      <c r="AE139" s="52">
        <f>IF(AQ139="7",BI139,0)</f>
        <v>0</v>
      </c>
      <c r="AF139" s="52">
        <f>IF(AQ139="2",BH139,0)</f>
        <v>0</v>
      </c>
      <c r="AG139" s="52">
        <f>IF(AQ139="2",BI139,0)</f>
        <v>0</v>
      </c>
      <c r="AH139" s="52">
        <f>IF(AQ139="0",BJ139,0)</f>
        <v>0</v>
      </c>
      <c r="AI139" s="34" t="s">
        <v>399</v>
      </c>
      <c r="AJ139" s="52">
        <f>IF(AN139=0,J139,0)</f>
        <v>0</v>
      </c>
      <c r="AK139" s="52">
        <f>IF(AN139=12,J139,0)</f>
        <v>0</v>
      </c>
      <c r="AL139" s="52">
        <f>IF(AN139=21,J139,0)</f>
        <v>0</v>
      </c>
      <c r="AN139" s="52">
        <v>21</v>
      </c>
      <c r="AO139" s="52">
        <f>G139*0.35</f>
        <v>0</v>
      </c>
      <c r="AP139" s="52">
        <f>G139*(1-0.35)</f>
        <v>0</v>
      </c>
      <c r="AQ139" s="54" t="s">
        <v>114</v>
      </c>
      <c r="AV139" s="52">
        <f>AW139+AX139</f>
        <v>0</v>
      </c>
      <c r="AW139" s="52">
        <f>F139*AO139</f>
        <v>0</v>
      </c>
      <c r="AX139" s="52">
        <f>F139*AP139</f>
        <v>0</v>
      </c>
      <c r="AY139" s="54" t="s">
        <v>207</v>
      </c>
      <c r="AZ139" s="54" t="s">
        <v>403</v>
      </c>
      <c r="BA139" s="34" t="s">
        <v>404</v>
      </c>
      <c r="BC139" s="52">
        <f>AW139+AX139</f>
        <v>0</v>
      </c>
      <c r="BD139" s="52">
        <f>G139/(100-BE139)*100</f>
        <v>0</v>
      </c>
      <c r="BE139" s="52">
        <v>0</v>
      </c>
      <c r="BF139" s="52">
        <f>139</f>
        <v>139</v>
      </c>
      <c r="BH139" s="52">
        <f>F139*AO139</f>
        <v>0</v>
      </c>
      <c r="BI139" s="52">
        <f>F139*AP139</f>
        <v>0</v>
      </c>
      <c r="BJ139" s="52">
        <f>F139*G139</f>
        <v>0</v>
      </c>
      <c r="BK139" s="52"/>
      <c r="BL139" s="52">
        <v>18</v>
      </c>
      <c r="BW139" s="52">
        <v>21</v>
      </c>
      <c r="BX139" s="3" t="s">
        <v>402</v>
      </c>
    </row>
    <row r="140" spans="1:76" ht="27" customHeight="1" x14ac:dyDescent="0.25">
      <c r="A140" s="55"/>
      <c r="B140" s="56" t="s">
        <v>57</v>
      </c>
      <c r="C140" s="138" t="s">
        <v>405</v>
      </c>
      <c r="D140" s="139"/>
      <c r="E140" s="139"/>
      <c r="F140" s="139"/>
      <c r="G140" s="139"/>
      <c r="H140" s="139"/>
      <c r="I140" s="139"/>
      <c r="J140" s="139"/>
      <c r="K140" s="140"/>
    </row>
    <row r="141" spans="1:76" x14ac:dyDescent="0.25">
      <c r="A141" s="1" t="s">
        <v>406</v>
      </c>
      <c r="B141" s="2" t="s">
        <v>401</v>
      </c>
      <c r="C141" s="66" t="s">
        <v>407</v>
      </c>
      <c r="D141" s="67"/>
      <c r="E141" s="2" t="s">
        <v>231</v>
      </c>
      <c r="F141" s="52">
        <v>156</v>
      </c>
      <c r="G141" s="52">
        <v>0</v>
      </c>
      <c r="H141" s="52">
        <f>F141*AO141</f>
        <v>0</v>
      </c>
      <c r="I141" s="52">
        <f>F141*AP141</f>
        <v>0</v>
      </c>
      <c r="J141" s="52">
        <f>F141*G141</f>
        <v>0</v>
      </c>
      <c r="K141" s="53" t="s">
        <v>4</v>
      </c>
      <c r="Z141" s="52">
        <f>IF(AQ141="5",BJ141,0)</f>
        <v>0</v>
      </c>
      <c r="AB141" s="52">
        <f>IF(AQ141="1",BH141,0)</f>
        <v>0</v>
      </c>
      <c r="AC141" s="52">
        <f>IF(AQ141="1",BI141,0)</f>
        <v>0</v>
      </c>
      <c r="AD141" s="52">
        <f>IF(AQ141="7",BH141,0)</f>
        <v>0</v>
      </c>
      <c r="AE141" s="52">
        <f>IF(AQ141="7",BI141,0)</f>
        <v>0</v>
      </c>
      <c r="AF141" s="52">
        <f>IF(AQ141="2",BH141,0)</f>
        <v>0</v>
      </c>
      <c r="AG141" s="52">
        <f>IF(AQ141="2",BI141,0)</f>
        <v>0</v>
      </c>
      <c r="AH141" s="52">
        <f>IF(AQ141="0",BJ141,0)</f>
        <v>0</v>
      </c>
      <c r="AI141" s="34" t="s">
        <v>399</v>
      </c>
      <c r="AJ141" s="52">
        <f>IF(AN141=0,J141,0)</f>
        <v>0</v>
      </c>
      <c r="AK141" s="52">
        <f>IF(AN141=12,J141,0)</f>
        <v>0</v>
      </c>
      <c r="AL141" s="52">
        <f>IF(AN141=21,J141,0)</f>
        <v>0</v>
      </c>
      <c r="AN141" s="52">
        <v>21</v>
      </c>
      <c r="AO141" s="52">
        <f>G141*0.35</f>
        <v>0</v>
      </c>
      <c r="AP141" s="52">
        <f>G141*(1-0.35)</f>
        <v>0</v>
      </c>
      <c r="AQ141" s="54" t="s">
        <v>114</v>
      </c>
      <c r="AV141" s="52">
        <f>AW141+AX141</f>
        <v>0</v>
      </c>
      <c r="AW141" s="52">
        <f>F141*AO141</f>
        <v>0</v>
      </c>
      <c r="AX141" s="52">
        <f>F141*AP141</f>
        <v>0</v>
      </c>
      <c r="AY141" s="54" t="s">
        <v>207</v>
      </c>
      <c r="AZ141" s="54" t="s">
        <v>403</v>
      </c>
      <c r="BA141" s="34" t="s">
        <v>404</v>
      </c>
      <c r="BC141" s="52">
        <f>AW141+AX141</f>
        <v>0</v>
      </c>
      <c r="BD141" s="52">
        <f>G141/(100-BE141)*100</f>
        <v>0</v>
      </c>
      <c r="BE141" s="52">
        <v>0</v>
      </c>
      <c r="BF141" s="52">
        <f>141</f>
        <v>141</v>
      </c>
      <c r="BH141" s="52">
        <f>F141*AO141</f>
        <v>0</v>
      </c>
      <c r="BI141" s="52">
        <f>F141*AP141</f>
        <v>0</v>
      </c>
      <c r="BJ141" s="52">
        <f>F141*G141</f>
        <v>0</v>
      </c>
      <c r="BK141" s="52"/>
      <c r="BL141" s="52">
        <v>18</v>
      </c>
      <c r="BW141" s="52">
        <v>21</v>
      </c>
      <c r="BX141" s="3" t="s">
        <v>407</v>
      </c>
    </row>
    <row r="142" spans="1:76" ht="27" customHeight="1" x14ac:dyDescent="0.25">
      <c r="A142" s="55"/>
      <c r="B142" s="56" t="s">
        <v>57</v>
      </c>
      <c r="C142" s="138" t="s">
        <v>405</v>
      </c>
      <c r="D142" s="139"/>
      <c r="E142" s="139"/>
      <c r="F142" s="139"/>
      <c r="G142" s="139"/>
      <c r="H142" s="139"/>
      <c r="I142" s="139"/>
      <c r="J142" s="139"/>
      <c r="K142" s="140"/>
    </row>
    <row r="143" spans="1:76" x14ac:dyDescent="0.25">
      <c r="A143" s="1" t="s">
        <v>408</v>
      </c>
      <c r="B143" s="2" t="s">
        <v>401</v>
      </c>
      <c r="C143" s="66" t="s">
        <v>409</v>
      </c>
      <c r="D143" s="67"/>
      <c r="E143" s="2" t="s">
        <v>231</v>
      </c>
      <c r="F143" s="52">
        <v>237</v>
      </c>
      <c r="G143" s="52">
        <v>0</v>
      </c>
      <c r="H143" s="52">
        <f>F143*AO143</f>
        <v>0</v>
      </c>
      <c r="I143" s="52">
        <f>F143*AP143</f>
        <v>0</v>
      </c>
      <c r="J143" s="52">
        <f>F143*G143</f>
        <v>0</v>
      </c>
      <c r="K143" s="53" t="s">
        <v>4</v>
      </c>
      <c r="Z143" s="52">
        <f>IF(AQ143="5",BJ143,0)</f>
        <v>0</v>
      </c>
      <c r="AB143" s="52">
        <f>IF(AQ143="1",BH143,0)</f>
        <v>0</v>
      </c>
      <c r="AC143" s="52">
        <f>IF(AQ143="1",BI143,0)</f>
        <v>0</v>
      </c>
      <c r="AD143" s="52">
        <f>IF(AQ143="7",BH143,0)</f>
        <v>0</v>
      </c>
      <c r="AE143" s="52">
        <f>IF(AQ143="7",BI143,0)</f>
        <v>0</v>
      </c>
      <c r="AF143" s="52">
        <f>IF(AQ143="2",BH143,0)</f>
        <v>0</v>
      </c>
      <c r="AG143" s="52">
        <f>IF(AQ143="2",BI143,0)</f>
        <v>0</v>
      </c>
      <c r="AH143" s="52">
        <f>IF(AQ143="0",BJ143,0)</f>
        <v>0</v>
      </c>
      <c r="AI143" s="34" t="s">
        <v>399</v>
      </c>
      <c r="AJ143" s="52">
        <f>IF(AN143=0,J143,0)</f>
        <v>0</v>
      </c>
      <c r="AK143" s="52">
        <f>IF(AN143=12,J143,0)</f>
        <v>0</v>
      </c>
      <c r="AL143" s="52">
        <f>IF(AN143=21,J143,0)</f>
        <v>0</v>
      </c>
      <c r="AN143" s="52">
        <v>21</v>
      </c>
      <c r="AO143" s="52">
        <f>G143*0.35</f>
        <v>0</v>
      </c>
      <c r="AP143" s="52">
        <f>G143*(1-0.35)</f>
        <v>0</v>
      </c>
      <c r="AQ143" s="54" t="s">
        <v>114</v>
      </c>
      <c r="AV143" s="52">
        <f>AW143+AX143</f>
        <v>0</v>
      </c>
      <c r="AW143" s="52">
        <f>F143*AO143</f>
        <v>0</v>
      </c>
      <c r="AX143" s="52">
        <f>F143*AP143</f>
        <v>0</v>
      </c>
      <c r="AY143" s="54" t="s">
        <v>207</v>
      </c>
      <c r="AZ143" s="54" t="s">
        <v>403</v>
      </c>
      <c r="BA143" s="34" t="s">
        <v>404</v>
      </c>
      <c r="BC143" s="52">
        <f>AW143+AX143</f>
        <v>0</v>
      </c>
      <c r="BD143" s="52">
        <f>G143/(100-BE143)*100</f>
        <v>0</v>
      </c>
      <c r="BE143" s="52">
        <v>0</v>
      </c>
      <c r="BF143" s="52">
        <f>143</f>
        <v>143</v>
      </c>
      <c r="BH143" s="52">
        <f>F143*AO143</f>
        <v>0</v>
      </c>
      <c r="BI143" s="52">
        <f>F143*AP143</f>
        <v>0</v>
      </c>
      <c r="BJ143" s="52">
        <f>F143*G143</f>
        <v>0</v>
      </c>
      <c r="BK143" s="52"/>
      <c r="BL143" s="52">
        <v>18</v>
      </c>
      <c r="BW143" s="52">
        <v>21</v>
      </c>
      <c r="BX143" s="3" t="s">
        <v>409</v>
      </c>
    </row>
    <row r="144" spans="1:76" ht="27" customHeight="1" x14ac:dyDescent="0.25">
      <c r="A144" s="55"/>
      <c r="B144" s="56" t="s">
        <v>57</v>
      </c>
      <c r="C144" s="138" t="s">
        <v>410</v>
      </c>
      <c r="D144" s="139"/>
      <c r="E144" s="139"/>
      <c r="F144" s="139"/>
      <c r="G144" s="139"/>
      <c r="H144" s="139"/>
      <c r="I144" s="139"/>
      <c r="J144" s="139"/>
      <c r="K144" s="140"/>
    </row>
    <row r="145" spans="1:76" x14ac:dyDescent="0.25">
      <c r="A145" s="1" t="s">
        <v>411</v>
      </c>
      <c r="B145" s="2" t="s">
        <v>401</v>
      </c>
      <c r="C145" s="66" t="s">
        <v>412</v>
      </c>
      <c r="D145" s="67"/>
      <c r="E145" s="2" t="s">
        <v>117</v>
      </c>
      <c r="F145" s="52">
        <v>2970</v>
      </c>
      <c r="G145" s="52">
        <v>0</v>
      </c>
      <c r="H145" s="52">
        <f>F145*AO145</f>
        <v>0</v>
      </c>
      <c r="I145" s="52">
        <f>F145*AP145</f>
        <v>0</v>
      </c>
      <c r="J145" s="52">
        <f>F145*G145</f>
        <v>0</v>
      </c>
      <c r="K145" s="53" t="s">
        <v>4</v>
      </c>
      <c r="Z145" s="52">
        <f>IF(AQ145="5",BJ145,0)</f>
        <v>0</v>
      </c>
      <c r="AB145" s="52">
        <f>IF(AQ145="1",BH145,0)</f>
        <v>0</v>
      </c>
      <c r="AC145" s="52">
        <f>IF(AQ145="1",BI145,0)</f>
        <v>0</v>
      </c>
      <c r="AD145" s="52">
        <f>IF(AQ145="7",BH145,0)</f>
        <v>0</v>
      </c>
      <c r="AE145" s="52">
        <f>IF(AQ145="7",BI145,0)</f>
        <v>0</v>
      </c>
      <c r="AF145" s="52">
        <f>IF(AQ145="2",BH145,0)</f>
        <v>0</v>
      </c>
      <c r="AG145" s="52">
        <f>IF(AQ145="2",BI145,0)</f>
        <v>0</v>
      </c>
      <c r="AH145" s="52">
        <f>IF(AQ145="0",BJ145,0)</f>
        <v>0</v>
      </c>
      <c r="AI145" s="34" t="s">
        <v>399</v>
      </c>
      <c r="AJ145" s="52">
        <f>IF(AN145=0,J145,0)</f>
        <v>0</v>
      </c>
      <c r="AK145" s="52">
        <f>IF(AN145=12,J145,0)</f>
        <v>0</v>
      </c>
      <c r="AL145" s="52">
        <f>IF(AN145=21,J145,0)</f>
        <v>0</v>
      </c>
      <c r="AN145" s="52">
        <v>21</v>
      </c>
      <c r="AO145" s="52">
        <f>G145*0.3</f>
        <v>0</v>
      </c>
      <c r="AP145" s="52">
        <f>G145*(1-0.3)</f>
        <v>0</v>
      </c>
      <c r="AQ145" s="54" t="s">
        <v>114</v>
      </c>
      <c r="AV145" s="52">
        <f>AW145+AX145</f>
        <v>0</v>
      </c>
      <c r="AW145" s="52">
        <f>F145*AO145</f>
        <v>0</v>
      </c>
      <c r="AX145" s="52">
        <f>F145*AP145</f>
        <v>0</v>
      </c>
      <c r="AY145" s="54" t="s">
        <v>207</v>
      </c>
      <c r="AZ145" s="54" t="s">
        <v>403</v>
      </c>
      <c r="BA145" s="34" t="s">
        <v>404</v>
      </c>
      <c r="BC145" s="52">
        <f>AW145+AX145</f>
        <v>0</v>
      </c>
      <c r="BD145" s="52">
        <f>G145/(100-BE145)*100</f>
        <v>0</v>
      </c>
      <c r="BE145" s="52">
        <v>0</v>
      </c>
      <c r="BF145" s="52">
        <f>145</f>
        <v>145</v>
      </c>
      <c r="BH145" s="52">
        <f>F145*AO145</f>
        <v>0</v>
      </c>
      <c r="BI145" s="52">
        <f>F145*AP145</f>
        <v>0</v>
      </c>
      <c r="BJ145" s="52">
        <f>F145*G145</f>
        <v>0</v>
      </c>
      <c r="BK145" s="52"/>
      <c r="BL145" s="52">
        <v>18</v>
      </c>
      <c r="BW145" s="52">
        <v>21</v>
      </c>
      <c r="BX145" s="3" t="s">
        <v>412</v>
      </c>
    </row>
    <row r="146" spans="1:76" ht="13.5" customHeight="1" x14ac:dyDescent="0.25">
      <c r="A146" s="55"/>
      <c r="B146" s="56" t="s">
        <v>57</v>
      </c>
      <c r="C146" s="138" t="s">
        <v>413</v>
      </c>
      <c r="D146" s="139"/>
      <c r="E146" s="139"/>
      <c r="F146" s="139"/>
      <c r="G146" s="139"/>
      <c r="H146" s="139"/>
      <c r="I146" s="139"/>
      <c r="J146" s="139"/>
      <c r="K146" s="140"/>
    </row>
    <row r="147" spans="1:76" x14ac:dyDescent="0.25">
      <c r="A147" s="57" t="s">
        <v>4</v>
      </c>
      <c r="B147" s="58" t="s">
        <v>4</v>
      </c>
      <c r="C147" s="141" t="s">
        <v>414</v>
      </c>
      <c r="D147" s="142"/>
      <c r="E147" s="59" t="s">
        <v>73</v>
      </c>
      <c r="F147" s="59" t="s">
        <v>73</v>
      </c>
      <c r="G147" s="59" t="s">
        <v>73</v>
      </c>
      <c r="H147" s="60">
        <f>H148</f>
        <v>0</v>
      </c>
      <c r="I147" s="60">
        <f>I148</f>
        <v>0</v>
      </c>
      <c r="J147" s="60">
        <f>J148</f>
        <v>0</v>
      </c>
      <c r="K147" s="61" t="s">
        <v>4</v>
      </c>
    </row>
    <row r="148" spans="1:76" x14ac:dyDescent="0.25">
      <c r="A148" s="48" t="s">
        <v>4</v>
      </c>
      <c r="B148" s="49" t="s">
        <v>169</v>
      </c>
      <c r="C148" s="143" t="s">
        <v>170</v>
      </c>
      <c r="D148" s="144"/>
      <c r="E148" s="50" t="s">
        <v>73</v>
      </c>
      <c r="F148" s="50" t="s">
        <v>73</v>
      </c>
      <c r="G148" s="50" t="s">
        <v>73</v>
      </c>
      <c r="H148" s="28">
        <f>SUM(H149:H150)</f>
        <v>0</v>
      </c>
      <c r="I148" s="28">
        <f>SUM(I149:I150)</f>
        <v>0</v>
      </c>
      <c r="J148" s="28">
        <f>SUM(J149:J150)</f>
        <v>0</v>
      </c>
      <c r="K148" s="51" t="s">
        <v>4</v>
      </c>
      <c r="AI148" s="34" t="s">
        <v>415</v>
      </c>
      <c r="AS148" s="28">
        <f>SUM(AJ149:AJ150)</f>
        <v>0</v>
      </c>
      <c r="AT148" s="28">
        <f>SUM(AK149:AK150)</f>
        <v>0</v>
      </c>
      <c r="AU148" s="28">
        <f>SUM(AL149:AL150)</f>
        <v>0</v>
      </c>
    </row>
    <row r="149" spans="1:76" x14ac:dyDescent="0.25">
      <c r="A149" s="1" t="s">
        <v>416</v>
      </c>
      <c r="B149" s="2" t="s">
        <v>180</v>
      </c>
      <c r="C149" s="66" t="s">
        <v>417</v>
      </c>
      <c r="D149" s="67"/>
      <c r="E149" s="2" t="s">
        <v>175</v>
      </c>
      <c r="F149" s="52">
        <v>1</v>
      </c>
      <c r="G149" s="52">
        <v>0</v>
      </c>
      <c r="H149" s="52">
        <f>F149*AO149</f>
        <v>0</v>
      </c>
      <c r="I149" s="52">
        <f>F149*AP149</f>
        <v>0</v>
      </c>
      <c r="J149" s="52">
        <f>F149*G149</f>
        <v>0</v>
      </c>
      <c r="K149" s="53" t="s">
        <v>125</v>
      </c>
      <c r="Z149" s="52">
        <f>IF(AQ149="5",BJ149,0)</f>
        <v>0</v>
      </c>
      <c r="AB149" s="52">
        <f>IF(AQ149="1",BH149,0)</f>
        <v>0</v>
      </c>
      <c r="AC149" s="52">
        <f>IF(AQ149="1",BI149,0)</f>
        <v>0</v>
      </c>
      <c r="AD149" s="52">
        <f>IF(AQ149="7",BH149,0)</f>
        <v>0</v>
      </c>
      <c r="AE149" s="52">
        <f>IF(AQ149="7",BI149,0)</f>
        <v>0</v>
      </c>
      <c r="AF149" s="52">
        <f>IF(AQ149="2",BH149,0)</f>
        <v>0</v>
      </c>
      <c r="AG149" s="52">
        <f>IF(AQ149="2",BI149,0)</f>
        <v>0</v>
      </c>
      <c r="AH149" s="52">
        <f>IF(AQ149="0",BJ149,0)</f>
        <v>0</v>
      </c>
      <c r="AI149" s="34" t="s">
        <v>415</v>
      </c>
      <c r="AJ149" s="52">
        <f>IF(AN149=0,J149,0)</f>
        <v>0</v>
      </c>
      <c r="AK149" s="52">
        <f>IF(AN149=12,J149,0)</f>
        <v>0</v>
      </c>
      <c r="AL149" s="52">
        <f>IF(AN149=21,J149,0)</f>
        <v>0</v>
      </c>
      <c r="AN149" s="52">
        <v>21</v>
      </c>
      <c r="AO149" s="52">
        <f>G149*0</f>
        <v>0</v>
      </c>
      <c r="AP149" s="52">
        <f>G149*(1-0)</f>
        <v>0</v>
      </c>
      <c r="AQ149" s="54" t="s">
        <v>114</v>
      </c>
      <c r="AV149" s="52">
        <f>AW149+AX149</f>
        <v>0</v>
      </c>
      <c r="AW149" s="52">
        <f>F149*AO149</f>
        <v>0</v>
      </c>
      <c r="AX149" s="52">
        <f>F149*AP149</f>
        <v>0</v>
      </c>
      <c r="AY149" s="54" t="s">
        <v>176</v>
      </c>
      <c r="AZ149" s="54" t="s">
        <v>418</v>
      </c>
      <c r="BA149" s="34" t="s">
        <v>419</v>
      </c>
      <c r="BC149" s="52">
        <f>AW149+AX149</f>
        <v>0</v>
      </c>
      <c r="BD149" s="52">
        <f>G149/(100-BE149)*100</f>
        <v>0</v>
      </c>
      <c r="BE149" s="52">
        <v>0</v>
      </c>
      <c r="BF149" s="52">
        <f>149</f>
        <v>149</v>
      </c>
      <c r="BH149" s="52">
        <f>F149*AO149</f>
        <v>0</v>
      </c>
      <c r="BI149" s="52">
        <f>F149*AP149</f>
        <v>0</v>
      </c>
      <c r="BJ149" s="52">
        <f>F149*G149</f>
        <v>0</v>
      </c>
      <c r="BK149" s="52"/>
      <c r="BL149" s="52"/>
      <c r="BW149" s="52">
        <v>21</v>
      </c>
      <c r="BX149" s="3" t="s">
        <v>417</v>
      </c>
    </row>
    <row r="150" spans="1:76" x14ac:dyDescent="0.25">
      <c r="A150" s="1" t="s">
        <v>420</v>
      </c>
      <c r="B150" s="2" t="s">
        <v>180</v>
      </c>
      <c r="C150" s="66" t="s">
        <v>421</v>
      </c>
      <c r="D150" s="67"/>
      <c r="E150" s="2" t="s">
        <v>175</v>
      </c>
      <c r="F150" s="52">
        <v>1</v>
      </c>
      <c r="G150" s="52">
        <v>0</v>
      </c>
      <c r="H150" s="52">
        <f>F150*AO150</f>
        <v>0</v>
      </c>
      <c r="I150" s="52">
        <f>F150*AP150</f>
        <v>0</v>
      </c>
      <c r="J150" s="52">
        <f>F150*G150</f>
        <v>0</v>
      </c>
      <c r="K150" s="53" t="s">
        <v>125</v>
      </c>
      <c r="Z150" s="52">
        <f>IF(AQ150="5",BJ150,0)</f>
        <v>0</v>
      </c>
      <c r="AB150" s="52">
        <f>IF(AQ150="1",BH150,0)</f>
        <v>0</v>
      </c>
      <c r="AC150" s="52">
        <f>IF(AQ150="1",BI150,0)</f>
        <v>0</v>
      </c>
      <c r="AD150" s="52">
        <f>IF(AQ150="7",BH150,0)</f>
        <v>0</v>
      </c>
      <c r="AE150" s="52">
        <f>IF(AQ150="7",BI150,0)</f>
        <v>0</v>
      </c>
      <c r="AF150" s="52">
        <f>IF(AQ150="2",BH150,0)</f>
        <v>0</v>
      </c>
      <c r="AG150" s="52">
        <f>IF(AQ150="2",BI150,0)</f>
        <v>0</v>
      </c>
      <c r="AH150" s="52">
        <f>IF(AQ150="0",BJ150,0)</f>
        <v>0</v>
      </c>
      <c r="AI150" s="34" t="s">
        <v>415</v>
      </c>
      <c r="AJ150" s="52">
        <f>IF(AN150=0,J150,0)</f>
        <v>0</v>
      </c>
      <c r="AK150" s="52">
        <f>IF(AN150=12,J150,0)</f>
        <v>0</v>
      </c>
      <c r="AL150" s="52">
        <f>IF(AN150=21,J150,0)</f>
        <v>0</v>
      </c>
      <c r="AN150" s="52">
        <v>21</v>
      </c>
      <c r="AO150" s="52">
        <f>G150*0</f>
        <v>0</v>
      </c>
      <c r="AP150" s="52">
        <f>G150*(1-0)</f>
        <v>0</v>
      </c>
      <c r="AQ150" s="54" t="s">
        <v>114</v>
      </c>
      <c r="AV150" s="52">
        <f>AW150+AX150</f>
        <v>0</v>
      </c>
      <c r="AW150" s="52">
        <f>F150*AO150</f>
        <v>0</v>
      </c>
      <c r="AX150" s="52">
        <f>F150*AP150</f>
        <v>0</v>
      </c>
      <c r="AY150" s="54" t="s">
        <v>176</v>
      </c>
      <c r="AZ150" s="54" t="s">
        <v>418</v>
      </c>
      <c r="BA150" s="34" t="s">
        <v>419</v>
      </c>
      <c r="BC150" s="52">
        <f>AW150+AX150</f>
        <v>0</v>
      </c>
      <c r="BD150" s="52">
        <f>G150/(100-BE150)*100</f>
        <v>0</v>
      </c>
      <c r="BE150" s="52">
        <v>0</v>
      </c>
      <c r="BF150" s="52">
        <f>150</f>
        <v>150</v>
      </c>
      <c r="BH150" s="52">
        <f>F150*AO150</f>
        <v>0</v>
      </c>
      <c r="BI150" s="52">
        <f>F150*AP150</f>
        <v>0</v>
      </c>
      <c r="BJ150" s="52">
        <f>F150*G150</f>
        <v>0</v>
      </c>
      <c r="BK150" s="52"/>
      <c r="BL150" s="52"/>
      <c r="BW150" s="52">
        <v>21</v>
      </c>
      <c r="BX150" s="3" t="s">
        <v>421</v>
      </c>
    </row>
    <row r="151" spans="1:76" x14ac:dyDescent="0.25">
      <c r="A151" s="57" t="s">
        <v>4</v>
      </c>
      <c r="B151" s="58" t="s">
        <v>4</v>
      </c>
      <c r="C151" s="141" t="s">
        <v>422</v>
      </c>
      <c r="D151" s="142"/>
      <c r="E151" s="59" t="s">
        <v>73</v>
      </c>
      <c r="F151" s="59" t="s">
        <v>73</v>
      </c>
      <c r="G151" s="59" t="s">
        <v>73</v>
      </c>
      <c r="H151" s="60">
        <f>H152+H154+H162+H164</f>
        <v>0</v>
      </c>
      <c r="I151" s="60">
        <f>I152+I154+I162+I164</f>
        <v>0</v>
      </c>
      <c r="J151" s="60">
        <f>J152+J154+J162+J164</f>
        <v>0</v>
      </c>
      <c r="K151" s="61" t="s">
        <v>4</v>
      </c>
    </row>
    <row r="152" spans="1:76" x14ac:dyDescent="0.25">
      <c r="A152" s="48" t="s">
        <v>4</v>
      </c>
      <c r="B152" s="49" t="s">
        <v>193</v>
      </c>
      <c r="C152" s="143" t="s">
        <v>194</v>
      </c>
      <c r="D152" s="144"/>
      <c r="E152" s="50" t="s">
        <v>73</v>
      </c>
      <c r="F152" s="50" t="s">
        <v>73</v>
      </c>
      <c r="G152" s="50" t="s">
        <v>73</v>
      </c>
      <c r="H152" s="28">
        <f>SUM(H153:H153)</f>
        <v>0</v>
      </c>
      <c r="I152" s="28">
        <f>SUM(I153:I153)</f>
        <v>0</v>
      </c>
      <c r="J152" s="28">
        <f>SUM(J153:J153)</f>
        <v>0</v>
      </c>
      <c r="K152" s="51" t="s">
        <v>4</v>
      </c>
      <c r="AI152" s="34" t="s">
        <v>423</v>
      </c>
      <c r="AS152" s="28">
        <f>SUM(AJ153:AJ153)</f>
        <v>0</v>
      </c>
      <c r="AT152" s="28">
        <f>SUM(AK153:AK153)</f>
        <v>0</v>
      </c>
      <c r="AU152" s="28">
        <f>SUM(AL153:AL153)</f>
        <v>0</v>
      </c>
    </row>
    <row r="153" spans="1:76" x14ac:dyDescent="0.25">
      <c r="A153" s="1" t="s">
        <v>424</v>
      </c>
      <c r="B153" s="2" t="s">
        <v>197</v>
      </c>
      <c r="C153" s="66" t="s">
        <v>198</v>
      </c>
      <c r="D153" s="67"/>
      <c r="E153" s="2" t="s">
        <v>199</v>
      </c>
      <c r="F153" s="52">
        <v>1</v>
      </c>
      <c r="G153" s="52">
        <v>0</v>
      </c>
      <c r="H153" s="52">
        <f>F153*AO153</f>
        <v>0</v>
      </c>
      <c r="I153" s="52">
        <f>F153*AP153</f>
        <v>0</v>
      </c>
      <c r="J153" s="52">
        <f>F153*G153</f>
        <v>0</v>
      </c>
      <c r="K153" s="53" t="s">
        <v>125</v>
      </c>
      <c r="Z153" s="52">
        <f>IF(AQ153="5",BJ153,0)</f>
        <v>0</v>
      </c>
      <c r="AB153" s="52">
        <f>IF(AQ153="1",BH153,0)</f>
        <v>0</v>
      </c>
      <c r="AC153" s="52">
        <f>IF(AQ153="1",BI153,0)</f>
        <v>0</v>
      </c>
      <c r="AD153" s="52">
        <f>IF(AQ153="7",BH153,0)</f>
        <v>0</v>
      </c>
      <c r="AE153" s="52">
        <f>IF(AQ153="7",BI153,0)</f>
        <v>0</v>
      </c>
      <c r="AF153" s="52">
        <f>IF(AQ153="2",BH153,0)</f>
        <v>0</v>
      </c>
      <c r="AG153" s="52">
        <f>IF(AQ153="2",BI153,0)</f>
        <v>0</v>
      </c>
      <c r="AH153" s="52">
        <f>IF(AQ153="0",BJ153,0)</f>
        <v>0</v>
      </c>
      <c r="AI153" s="34" t="s">
        <v>423</v>
      </c>
      <c r="AJ153" s="52">
        <f>IF(AN153=0,J153,0)</f>
        <v>0</v>
      </c>
      <c r="AK153" s="52">
        <f>IF(AN153=12,J153,0)</f>
        <v>0</v>
      </c>
      <c r="AL153" s="52">
        <f>IF(AN153=21,J153,0)</f>
        <v>0</v>
      </c>
      <c r="AN153" s="52">
        <v>21</v>
      </c>
      <c r="AO153" s="52">
        <f>G153*0</f>
        <v>0</v>
      </c>
      <c r="AP153" s="52">
        <f>G153*(1-0)</f>
        <v>0</v>
      </c>
      <c r="AQ153" s="54" t="s">
        <v>114</v>
      </c>
      <c r="AV153" s="52">
        <f>AW153+AX153</f>
        <v>0</v>
      </c>
      <c r="AW153" s="52">
        <f>F153*AO153</f>
        <v>0</v>
      </c>
      <c r="AX153" s="52">
        <f>F153*AP153</f>
        <v>0</v>
      </c>
      <c r="AY153" s="54" t="s">
        <v>200</v>
      </c>
      <c r="AZ153" s="54" t="s">
        <v>425</v>
      </c>
      <c r="BA153" s="34" t="s">
        <v>426</v>
      </c>
      <c r="BC153" s="52">
        <f>AW153+AX153</f>
        <v>0</v>
      </c>
      <c r="BD153" s="52">
        <f>G153/(100-BE153)*100</f>
        <v>0</v>
      </c>
      <c r="BE153" s="52">
        <v>0</v>
      </c>
      <c r="BF153" s="52">
        <f>153</f>
        <v>153</v>
      </c>
      <c r="BH153" s="52">
        <f>F153*AO153</f>
        <v>0</v>
      </c>
      <c r="BI153" s="52">
        <f>F153*AP153</f>
        <v>0</v>
      </c>
      <c r="BJ153" s="52">
        <f>F153*G153</f>
        <v>0</v>
      </c>
      <c r="BK153" s="52"/>
      <c r="BL153" s="52">
        <v>111</v>
      </c>
      <c r="BW153" s="52">
        <v>21</v>
      </c>
      <c r="BX153" s="3" t="s">
        <v>198</v>
      </c>
    </row>
    <row r="154" spans="1:76" x14ac:dyDescent="0.25">
      <c r="A154" s="48" t="s">
        <v>4</v>
      </c>
      <c r="B154" s="49" t="s">
        <v>182</v>
      </c>
      <c r="C154" s="143" t="s">
        <v>203</v>
      </c>
      <c r="D154" s="144"/>
      <c r="E154" s="50" t="s">
        <v>73</v>
      </c>
      <c r="F154" s="50" t="s">
        <v>73</v>
      </c>
      <c r="G154" s="50" t="s">
        <v>73</v>
      </c>
      <c r="H154" s="28">
        <f>SUM(H155:H161)</f>
        <v>0</v>
      </c>
      <c r="I154" s="28">
        <f>SUM(I155:I161)</f>
        <v>0</v>
      </c>
      <c r="J154" s="28">
        <f>SUM(J155:J161)</f>
        <v>0</v>
      </c>
      <c r="K154" s="51" t="s">
        <v>4</v>
      </c>
      <c r="AI154" s="34" t="s">
        <v>423</v>
      </c>
      <c r="AS154" s="28">
        <f>SUM(AJ155:AJ161)</f>
        <v>0</v>
      </c>
      <c r="AT154" s="28">
        <f>SUM(AK155:AK161)</f>
        <v>0</v>
      </c>
      <c r="AU154" s="28">
        <f>SUM(AL155:AL161)</f>
        <v>0</v>
      </c>
    </row>
    <row r="155" spans="1:76" x14ac:dyDescent="0.25">
      <c r="A155" s="1" t="s">
        <v>427</v>
      </c>
      <c r="B155" s="2" t="s">
        <v>214</v>
      </c>
      <c r="C155" s="66" t="s">
        <v>428</v>
      </c>
      <c r="D155" s="67"/>
      <c r="E155" s="2" t="s">
        <v>138</v>
      </c>
      <c r="F155" s="52">
        <v>1</v>
      </c>
      <c r="G155" s="52">
        <v>0</v>
      </c>
      <c r="H155" s="52">
        <f t="shared" ref="H155:H161" si="90">F155*AO155</f>
        <v>0</v>
      </c>
      <c r="I155" s="52">
        <f t="shared" ref="I155:I161" si="91">F155*AP155</f>
        <v>0</v>
      </c>
      <c r="J155" s="52">
        <f t="shared" ref="J155:J161" si="92">F155*G155</f>
        <v>0</v>
      </c>
      <c r="K155" s="53" t="s">
        <v>125</v>
      </c>
      <c r="Z155" s="52">
        <f t="shared" ref="Z155:Z161" si="93">IF(AQ155="5",BJ155,0)</f>
        <v>0</v>
      </c>
      <c r="AB155" s="52">
        <f t="shared" ref="AB155:AB161" si="94">IF(AQ155="1",BH155,0)</f>
        <v>0</v>
      </c>
      <c r="AC155" s="52">
        <f t="shared" ref="AC155:AC161" si="95">IF(AQ155="1",BI155,0)</f>
        <v>0</v>
      </c>
      <c r="AD155" s="52">
        <f t="shared" ref="AD155:AD161" si="96">IF(AQ155="7",BH155,0)</f>
        <v>0</v>
      </c>
      <c r="AE155" s="52">
        <f t="shared" ref="AE155:AE161" si="97">IF(AQ155="7",BI155,0)</f>
        <v>0</v>
      </c>
      <c r="AF155" s="52">
        <f t="shared" ref="AF155:AF161" si="98">IF(AQ155="2",BH155,0)</f>
        <v>0</v>
      </c>
      <c r="AG155" s="52">
        <f t="shared" ref="AG155:AG161" si="99">IF(AQ155="2",BI155,0)</f>
        <v>0</v>
      </c>
      <c r="AH155" s="52">
        <f t="shared" ref="AH155:AH161" si="100">IF(AQ155="0",BJ155,0)</f>
        <v>0</v>
      </c>
      <c r="AI155" s="34" t="s">
        <v>423</v>
      </c>
      <c r="AJ155" s="52">
        <f t="shared" ref="AJ155:AJ161" si="101">IF(AN155=0,J155,0)</f>
        <v>0</v>
      </c>
      <c r="AK155" s="52">
        <f t="shared" ref="AK155:AK161" si="102">IF(AN155=12,J155,0)</f>
        <v>0</v>
      </c>
      <c r="AL155" s="52">
        <f t="shared" ref="AL155:AL161" si="103">IF(AN155=21,J155,0)</f>
        <v>0</v>
      </c>
      <c r="AN155" s="52">
        <v>21</v>
      </c>
      <c r="AO155" s="52">
        <f>G155*0</f>
        <v>0</v>
      </c>
      <c r="AP155" s="52">
        <f>G155*(1-0)</f>
        <v>0</v>
      </c>
      <c r="AQ155" s="54" t="s">
        <v>114</v>
      </c>
      <c r="AV155" s="52">
        <f t="shared" ref="AV155:AV161" si="104">AW155+AX155</f>
        <v>0</v>
      </c>
      <c r="AW155" s="52">
        <f t="shared" ref="AW155:AW161" si="105">F155*AO155</f>
        <v>0</v>
      </c>
      <c r="AX155" s="52">
        <f t="shared" ref="AX155:AX161" si="106">F155*AP155</f>
        <v>0</v>
      </c>
      <c r="AY155" s="54" t="s">
        <v>207</v>
      </c>
      <c r="AZ155" s="54" t="s">
        <v>425</v>
      </c>
      <c r="BA155" s="34" t="s">
        <v>426</v>
      </c>
      <c r="BC155" s="52">
        <f t="shared" ref="BC155:BC161" si="107">AW155+AX155</f>
        <v>0</v>
      </c>
      <c r="BD155" s="52">
        <f t="shared" ref="BD155:BD161" si="108">G155/(100-BE155)*100</f>
        <v>0</v>
      </c>
      <c r="BE155" s="52">
        <v>0</v>
      </c>
      <c r="BF155" s="52">
        <f>155</f>
        <v>155</v>
      </c>
      <c r="BH155" s="52">
        <f t="shared" ref="BH155:BH161" si="109">F155*AO155</f>
        <v>0</v>
      </c>
      <c r="BI155" s="52">
        <f t="shared" ref="BI155:BI161" si="110">F155*AP155</f>
        <v>0</v>
      </c>
      <c r="BJ155" s="52">
        <f t="shared" ref="BJ155:BJ161" si="111">F155*G155</f>
        <v>0</v>
      </c>
      <c r="BK155" s="52"/>
      <c r="BL155" s="52">
        <v>18</v>
      </c>
      <c r="BW155" s="52">
        <v>21</v>
      </c>
      <c r="BX155" s="3" t="s">
        <v>428</v>
      </c>
    </row>
    <row r="156" spans="1:76" x14ac:dyDescent="0.25">
      <c r="A156" s="1" t="s">
        <v>429</v>
      </c>
      <c r="B156" s="2" t="s">
        <v>223</v>
      </c>
      <c r="C156" s="66" t="s">
        <v>224</v>
      </c>
      <c r="D156" s="67"/>
      <c r="E156" s="2" t="s">
        <v>138</v>
      </c>
      <c r="F156" s="52">
        <v>1</v>
      </c>
      <c r="G156" s="52">
        <v>0</v>
      </c>
      <c r="H156" s="52">
        <f t="shared" si="90"/>
        <v>0</v>
      </c>
      <c r="I156" s="52">
        <f t="shared" si="91"/>
        <v>0</v>
      </c>
      <c r="J156" s="52">
        <f t="shared" si="92"/>
        <v>0</v>
      </c>
      <c r="K156" s="53" t="s">
        <v>125</v>
      </c>
      <c r="Z156" s="52">
        <f t="shared" si="93"/>
        <v>0</v>
      </c>
      <c r="AB156" s="52">
        <f t="shared" si="94"/>
        <v>0</v>
      </c>
      <c r="AC156" s="52">
        <f t="shared" si="95"/>
        <v>0</v>
      </c>
      <c r="AD156" s="52">
        <f t="shared" si="96"/>
        <v>0</v>
      </c>
      <c r="AE156" s="52">
        <f t="shared" si="97"/>
        <v>0</v>
      </c>
      <c r="AF156" s="52">
        <f t="shared" si="98"/>
        <v>0</v>
      </c>
      <c r="AG156" s="52">
        <f t="shared" si="99"/>
        <v>0</v>
      </c>
      <c r="AH156" s="52">
        <f t="shared" si="100"/>
        <v>0</v>
      </c>
      <c r="AI156" s="34" t="s">
        <v>423</v>
      </c>
      <c r="AJ156" s="52">
        <f t="shared" si="101"/>
        <v>0</v>
      </c>
      <c r="AK156" s="52">
        <f t="shared" si="102"/>
        <v>0</v>
      </c>
      <c r="AL156" s="52">
        <f t="shared" si="103"/>
        <v>0</v>
      </c>
      <c r="AN156" s="52">
        <v>21</v>
      </c>
      <c r="AO156" s="52">
        <f>G156*0.006211613</f>
        <v>0</v>
      </c>
      <c r="AP156" s="52">
        <f>G156*(1-0.006211613)</f>
        <v>0</v>
      </c>
      <c r="AQ156" s="54" t="s">
        <v>114</v>
      </c>
      <c r="AV156" s="52">
        <f t="shared" si="104"/>
        <v>0</v>
      </c>
      <c r="AW156" s="52">
        <f t="shared" si="105"/>
        <v>0</v>
      </c>
      <c r="AX156" s="52">
        <f t="shared" si="106"/>
        <v>0</v>
      </c>
      <c r="AY156" s="54" t="s">
        <v>207</v>
      </c>
      <c r="AZ156" s="54" t="s">
        <v>425</v>
      </c>
      <c r="BA156" s="34" t="s">
        <v>426</v>
      </c>
      <c r="BC156" s="52">
        <f t="shared" si="107"/>
        <v>0</v>
      </c>
      <c r="BD156" s="52">
        <f t="shared" si="108"/>
        <v>0</v>
      </c>
      <c r="BE156" s="52">
        <v>0</v>
      </c>
      <c r="BF156" s="52">
        <f>156</f>
        <v>156</v>
      </c>
      <c r="BH156" s="52">
        <f t="shared" si="109"/>
        <v>0</v>
      </c>
      <c r="BI156" s="52">
        <f t="shared" si="110"/>
        <v>0</v>
      </c>
      <c r="BJ156" s="52">
        <f t="shared" si="111"/>
        <v>0</v>
      </c>
      <c r="BK156" s="52"/>
      <c r="BL156" s="52">
        <v>18</v>
      </c>
      <c r="BW156" s="52">
        <v>21</v>
      </c>
      <c r="BX156" s="3" t="s">
        <v>224</v>
      </c>
    </row>
    <row r="157" spans="1:76" x14ac:dyDescent="0.25">
      <c r="A157" s="1" t="s">
        <v>430</v>
      </c>
      <c r="B157" s="2" t="s">
        <v>226</v>
      </c>
      <c r="C157" s="66" t="s">
        <v>227</v>
      </c>
      <c r="D157" s="67"/>
      <c r="E157" s="2" t="s">
        <v>138</v>
      </c>
      <c r="F157" s="52">
        <v>1</v>
      </c>
      <c r="G157" s="52">
        <v>0</v>
      </c>
      <c r="H157" s="52">
        <f t="shared" si="90"/>
        <v>0</v>
      </c>
      <c r="I157" s="52">
        <f t="shared" si="91"/>
        <v>0</v>
      </c>
      <c r="J157" s="52">
        <f t="shared" si="92"/>
        <v>0</v>
      </c>
      <c r="K157" s="53" t="s">
        <v>125</v>
      </c>
      <c r="Z157" s="52">
        <f t="shared" si="93"/>
        <v>0</v>
      </c>
      <c r="AB157" s="52">
        <f t="shared" si="94"/>
        <v>0</v>
      </c>
      <c r="AC157" s="52">
        <f t="shared" si="95"/>
        <v>0</v>
      </c>
      <c r="AD157" s="52">
        <f t="shared" si="96"/>
        <v>0</v>
      </c>
      <c r="AE157" s="52">
        <f t="shared" si="97"/>
        <v>0</v>
      </c>
      <c r="AF157" s="52">
        <f t="shared" si="98"/>
        <v>0</v>
      </c>
      <c r="AG157" s="52">
        <f t="shared" si="99"/>
        <v>0</v>
      </c>
      <c r="AH157" s="52">
        <f t="shared" si="100"/>
        <v>0</v>
      </c>
      <c r="AI157" s="34" t="s">
        <v>423</v>
      </c>
      <c r="AJ157" s="52">
        <f t="shared" si="101"/>
        <v>0</v>
      </c>
      <c r="AK157" s="52">
        <f t="shared" si="102"/>
        <v>0</v>
      </c>
      <c r="AL157" s="52">
        <f t="shared" si="103"/>
        <v>0</v>
      </c>
      <c r="AN157" s="52">
        <v>21</v>
      </c>
      <c r="AO157" s="52">
        <f>G157*0</f>
        <v>0</v>
      </c>
      <c r="AP157" s="52">
        <f>G157*(1-0)</f>
        <v>0</v>
      </c>
      <c r="AQ157" s="54" t="s">
        <v>114</v>
      </c>
      <c r="AV157" s="52">
        <f t="shared" si="104"/>
        <v>0</v>
      </c>
      <c r="AW157" s="52">
        <f t="shared" si="105"/>
        <v>0</v>
      </c>
      <c r="AX157" s="52">
        <f t="shared" si="106"/>
        <v>0</v>
      </c>
      <c r="AY157" s="54" t="s">
        <v>207</v>
      </c>
      <c r="AZ157" s="54" t="s">
        <v>425</v>
      </c>
      <c r="BA157" s="34" t="s">
        <v>426</v>
      </c>
      <c r="BC157" s="52">
        <f t="shared" si="107"/>
        <v>0</v>
      </c>
      <c r="BD157" s="52">
        <f t="shared" si="108"/>
        <v>0</v>
      </c>
      <c r="BE157" s="52">
        <v>0</v>
      </c>
      <c r="BF157" s="52">
        <f>157</f>
        <v>157</v>
      </c>
      <c r="BH157" s="52">
        <f t="shared" si="109"/>
        <v>0</v>
      </c>
      <c r="BI157" s="52">
        <f t="shared" si="110"/>
        <v>0</v>
      </c>
      <c r="BJ157" s="52">
        <f t="shared" si="111"/>
        <v>0</v>
      </c>
      <c r="BK157" s="52"/>
      <c r="BL157" s="52">
        <v>18</v>
      </c>
      <c r="BW157" s="52">
        <v>21</v>
      </c>
      <c r="BX157" s="3" t="s">
        <v>227</v>
      </c>
    </row>
    <row r="158" spans="1:76" x14ac:dyDescent="0.25">
      <c r="A158" s="1" t="s">
        <v>431</v>
      </c>
      <c r="B158" s="2" t="s">
        <v>229</v>
      </c>
      <c r="C158" s="66" t="s">
        <v>230</v>
      </c>
      <c r="D158" s="67"/>
      <c r="E158" s="2" t="s">
        <v>231</v>
      </c>
      <c r="F158" s="52">
        <v>1</v>
      </c>
      <c r="G158" s="52">
        <v>0</v>
      </c>
      <c r="H158" s="52">
        <f t="shared" si="90"/>
        <v>0</v>
      </c>
      <c r="I158" s="52">
        <f t="shared" si="91"/>
        <v>0</v>
      </c>
      <c r="J158" s="52">
        <f t="shared" si="92"/>
        <v>0</v>
      </c>
      <c r="K158" s="53" t="s">
        <v>4</v>
      </c>
      <c r="Z158" s="52">
        <f t="shared" si="93"/>
        <v>0</v>
      </c>
      <c r="AB158" s="52">
        <f t="shared" si="94"/>
        <v>0</v>
      </c>
      <c r="AC158" s="52">
        <f t="shared" si="95"/>
        <v>0</v>
      </c>
      <c r="AD158" s="52">
        <f t="shared" si="96"/>
        <v>0</v>
      </c>
      <c r="AE158" s="52">
        <f t="shared" si="97"/>
        <v>0</v>
      </c>
      <c r="AF158" s="52">
        <f t="shared" si="98"/>
        <v>0</v>
      </c>
      <c r="AG158" s="52">
        <f t="shared" si="99"/>
        <v>0</v>
      </c>
      <c r="AH158" s="52">
        <f t="shared" si="100"/>
        <v>0</v>
      </c>
      <c r="AI158" s="34" t="s">
        <v>423</v>
      </c>
      <c r="AJ158" s="52">
        <f t="shared" si="101"/>
        <v>0</v>
      </c>
      <c r="AK158" s="52">
        <f t="shared" si="102"/>
        <v>0</v>
      </c>
      <c r="AL158" s="52">
        <f t="shared" si="103"/>
        <v>0</v>
      </c>
      <c r="AN158" s="52">
        <v>21</v>
      </c>
      <c r="AO158" s="52">
        <f>G158*0</f>
        <v>0</v>
      </c>
      <c r="AP158" s="52">
        <f>G158*(1-0)</f>
        <v>0</v>
      </c>
      <c r="AQ158" s="54" t="s">
        <v>114</v>
      </c>
      <c r="AV158" s="52">
        <f t="shared" si="104"/>
        <v>0</v>
      </c>
      <c r="AW158" s="52">
        <f t="shared" si="105"/>
        <v>0</v>
      </c>
      <c r="AX158" s="52">
        <f t="shared" si="106"/>
        <v>0</v>
      </c>
      <c r="AY158" s="54" t="s">
        <v>207</v>
      </c>
      <c r="AZ158" s="54" t="s">
        <v>425</v>
      </c>
      <c r="BA158" s="34" t="s">
        <v>426</v>
      </c>
      <c r="BC158" s="52">
        <f t="shared" si="107"/>
        <v>0</v>
      </c>
      <c r="BD158" s="52">
        <f t="shared" si="108"/>
        <v>0</v>
      </c>
      <c r="BE158" s="52">
        <v>0</v>
      </c>
      <c r="BF158" s="52">
        <f>158</f>
        <v>158</v>
      </c>
      <c r="BH158" s="52">
        <f t="shared" si="109"/>
        <v>0</v>
      </c>
      <c r="BI158" s="52">
        <f t="shared" si="110"/>
        <v>0</v>
      </c>
      <c r="BJ158" s="52">
        <f t="shared" si="111"/>
        <v>0</v>
      </c>
      <c r="BK158" s="52"/>
      <c r="BL158" s="52">
        <v>18</v>
      </c>
      <c r="BW158" s="52">
        <v>21</v>
      </c>
      <c r="BX158" s="3" t="s">
        <v>230</v>
      </c>
    </row>
    <row r="159" spans="1:76" x14ac:dyDescent="0.25">
      <c r="A159" s="1" t="s">
        <v>432</v>
      </c>
      <c r="B159" s="2" t="s">
        <v>233</v>
      </c>
      <c r="C159" s="66" t="s">
        <v>433</v>
      </c>
      <c r="D159" s="67"/>
      <c r="E159" s="2" t="s">
        <v>138</v>
      </c>
      <c r="F159" s="52">
        <v>1</v>
      </c>
      <c r="G159" s="52">
        <v>0</v>
      </c>
      <c r="H159" s="52">
        <f t="shared" si="90"/>
        <v>0</v>
      </c>
      <c r="I159" s="52">
        <f t="shared" si="91"/>
        <v>0</v>
      </c>
      <c r="J159" s="52">
        <f t="shared" si="92"/>
        <v>0</v>
      </c>
      <c r="K159" s="53" t="s">
        <v>125</v>
      </c>
      <c r="Z159" s="52">
        <f t="shared" si="93"/>
        <v>0</v>
      </c>
      <c r="AB159" s="52">
        <f t="shared" si="94"/>
        <v>0</v>
      </c>
      <c r="AC159" s="52">
        <f t="shared" si="95"/>
        <v>0</v>
      </c>
      <c r="AD159" s="52">
        <f t="shared" si="96"/>
        <v>0</v>
      </c>
      <c r="AE159" s="52">
        <f t="shared" si="97"/>
        <v>0</v>
      </c>
      <c r="AF159" s="52">
        <f t="shared" si="98"/>
        <v>0</v>
      </c>
      <c r="AG159" s="52">
        <f t="shared" si="99"/>
        <v>0</v>
      </c>
      <c r="AH159" s="52">
        <f t="shared" si="100"/>
        <v>0</v>
      </c>
      <c r="AI159" s="34" t="s">
        <v>423</v>
      </c>
      <c r="AJ159" s="52">
        <f t="shared" si="101"/>
        <v>0</v>
      </c>
      <c r="AK159" s="52">
        <f t="shared" si="102"/>
        <v>0</v>
      </c>
      <c r="AL159" s="52">
        <f t="shared" si="103"/>
        <v>0</v>
      </c>
      <c r="AN159" s="52">
        <v>21</v>
      </c>
      <c r="AO159" s="52">
        <f>G159*0.194008811</f>
        <v>0</v>
      </c>
      <c r="AP159" s="52">
        <f>G159*(1-0.194008811)</f>
        <v>0</v>
      </c>
      <c r="AQ159" s="54" t="s">
        <v>114</v>
      </c>
      <c r="AV159" s="52">
        <f t="shared" si="104"/>
        <v>0</v>
      </c>
      <c r="AW159" s="52">
        <f t="shared" si="105"/>
        <v>0</v>
      </c>
      <c r="AX159" s="52">
        <f t="shared" si="106"/>
        <v>0</v>
      </c>
      <c r="AY159" s="54" t="s">
        <v>207</v>
      </c>
      <c r="AZ159" s="54" t="s">
        <v>425</v>
      </c>
      <c r="BA159" s="34" t="s">
        <v>426</v>
      </c>
      <c r="BC159" s="52">
        <f t="shared" si="107"/>
        <v>0</v>
      </c>
      <c r="BD159" s="52">
        <f t="shared" si="108"/>
        <v>0</v>
      </c>
      <c r="BE159" s="52">
        <v>0</v>
      </c>
      <c r="BF159" s="52">
        <f>159</f>
        <v>159</v>
      </c>
      <c r="BH159" s="52">
        <f t="shared" si="109"/>
        <v>0</v>
      </c>
      <c r="BI159" s="52">
        <f t="shared" si="110"/>
        <v>0</v>
      </c>
      <c r="BJ159" s="52">
        <f t="shared" si="111"/>
        <v>0</v>
      </c>
      <c r="BK159" s="52"/>
      <c r="BL159" s="52">
        <v>18</v>
      </c>
      <c r="BW159" s="52">
        <v>21</v>
      </c>
      <c r="BX159" s="3" t="s">
        <v>433</v>
      </c>
    </row>
    <row r="160" spans="1:76" x14ac:dyDescent="0.25">
      <c r="A160" s="1" t="s">
        <v>434</v>
      </c>
      <c r="B160" s="2" t="s">
        <v>236</v>
      </c>
      <c r="C160" s="66" t="s">
        <v>435</v>
      </c>
      <c r="D160" s="67"/>
      <c r="E160" s="2" t="s">
        <v>231</v>
      </c>
      <c r="F160" s="52">
        <v>1</v>
      </c>
      <c r="G160" s="52">
        <v>0</v>
      </c>
      <c r="H160" s="52">
        <f t="shared" si="90"/>
        <v>0</v>
      </c>
      <c r="I160" s="52">
        <f t="shared" si="91"/>
        <v>0</v>
      </c>
      <c r="J160" s="52">
        <f t="shared" si="92"/>
        <v>0</v>
      </c>
      <c r="K160" s="53" t="s">
        <v>125</v>
      </c>
      <c r="Z160" s="52">
        <f t="shared" si="93"/>
        <v>0</v>
      </c>
      <c r="AB160" s="52">
        <f t="shared" si="94"/>
        <v>0</v>
      </c>
      <c r="AC160" s="52">
        <f t="shared" si="95"/>
        <v>0</v>
      </c>
      <c r="AD160" s="52">
        <f t="shared" si="96"/>
        <v>0</v>
      </c>
      <c r="AE160" s="52">
        <f t="shared" si="97"/>
        <v>0</v>
      </c>
      <c r="AF160" s="52">
        <f t="shared" si="98"/>
        <v>0</v>
      </c>
      <c r="AG160" s="52">
        <f t="shared" si="99"/>
        <v>0</v>
      </c>
      <c r="AH160" s="52">
        <f t="shared" si="100"/>
        <v>0</v>
      </c>
      <c r="AI160" s="34" t="s">
        <v>423</v>
      </c>
      <c r="AJ160" s="52">
        <f t="shared" si="101"/>
        <v>0</v>
      </c>
      <c r="AK160" s="52">
        <f t="shared" si="102"/>
        <v>0</v>
      </c>
      <c r="AL160" s="52">
        <f t="shared" si="103"/>
        <v>0</v>
      </c>
      <c r="AN160" s="52">
        <v>21</v>
      </c>
      <c r="AO160" s="52">
        <f>G160*0</f>
        <v>0</v>
      </c>
      <c r="AP160" s="52">
        <f>G160*(1-0)</f>
        <v>0</v>
      </c>
      <c r="AQ160" s="54" t="s">
        <v>114</v>
      </c>
      <c r="AV160" s="52">
        <f t="shared" si="104"/>
        <v>0</v>
      </c>
      <c r="AW160" s="52">
        <f t="shared" si="105"/>
        <v>0</v>
      </c>
      <c r="AX160" s="52">
        <f t="shared" si="106"/>
        <v>0</v>
      </c>
      <c r="AY160" s="54" t="s">
        <v>207</v>
      </c>
      <c r="AZ160" s="54" t="s">
        <v>425</v>
      </c>
      <c r="BA160" s="34" t="s">
        <v>426</v>
      </c>
      <c r="BC160" s="52">
        <f t="shared" si="107"/>
        <v>0</v>
      </c>
      <c r="BD160" s="52">
        <f t="shared" si="108"/>
        <v>0</v>
      </c>
      <c r="BE160" s="52">
        <v>0</v>
      </c>
      <c r="BF160" s="52">
        <f>160</f>
        <v>160</v>
      </c>
      <c r="BH160" s="52">
        <f t="shared" si="109"/>
        <v>0</v>
      </c>
      <c r="BI160" s="52">
        <f t="shared" si="110"/>
        <v>0</v>
      </c>
      <c r="BJ160" s="52">
        <f t="shared" si="111"/>
        <v>0</v>
      </c>
      <c r="BK160" s="52"/>
      <c r="BL160" s="52">
        <v>18</v>
      </c>
      <c r="BW160" s="52">
        <v>21</v>
      </c>
      <c r="BX160" s="3" t="s">
        <v>435</v>
      </c>
    </row>
    <row r="161" spans="1:76" x14ac:dyDescent="0.25">
      <c r="A161" s="1" t="s">
        <v>436</v>
      </c>
      <c r="B161" s="2" t="s">
        <v>242</v>
      </c>
      <c r="C161" s="66" t="s">
        <v>437</v>
      </c>
      <c r="D161" s="67"/>
      <c r="E161" s="2" t="s">
        <v>129</v>
      </c>
      <c r="F161" s="52">
        <v>0.06</v>
      </c>
      <c r="G161" s="52">
        <v>0</v>
      </c>
      <c r="H161" s="52">
        <f t="shared" si="90"/>
        <v>0</v>
      </c>
      <c r="I161" s="52">
        <f t="shared" si="91"/>
        <v>0</v>
      </c>
      <c r="J161" s="52">
        <f t="shared" si="92"/>
        <v>0</v>
      </c>
      <c r="K161" s="53" t="s">
        <v>130</v>
      </c>
      <c r="Z161" s="52">
        <f t="shared" si="93"/>
        <v>0</v>
      </c>
      <c r="AB161" s="52">
        <f t="shared" si="94"/>
        <v>0</v>
      </c>
      <c r="AC161" s="52">
        <f t="shared" si="95"/>
        <v>0</v>
      </c>
      <c r="AD161" s="52">
        <f t="shared" si="96"/>
        <v>0</v>
      </c>
      <c r="AE161" s="52">
        <f t="shared" si="97"/>
        <v>0</v>
      </c>
      <c r="AF161" s="52">
        <f t="shared" si="98"/>
        <v>0</v>
      </c>
      <c r="AG161" s="52">
        <f t="shared" si="99"/>
        <v>0</v>
      </c>
      <c r="AH161" s="52">
        <f t="shared" si="100"/>
        <v>0</v>
      </c>
      <c r="AI161" s="34" t="s">
        <v>423</v>
      </c>
      <c r="AJ161" s="52">
        <f t="shared" si="101"/>
        <v>0</v>
      </c>
      <c r="AK161" s="52">
        <f t="shared" si="102"/>
        <v>0</v>
      </c>
      <c r="AL161" s="52">
        <f t="shared" si="103"/>
        <v>0</v>
      </c>
      <c r="AN161" s="52">
        <v>21</v>
      </c>
      <c r="AO161" s="52">
        <f>G161*0</f>
        <v>0</v>
      </c>
      <c r="AP161" s="52">
        <f>G161*(1-0)</f>
        <v>0</v>
      </c>
      <c r="AQ161" s="54" t="s">
        <v>114</v>
      </c>
      <c r="AV161" s="52">
        <f t="shared" si="104"/>
        <v>0</v>
      </c>
      <c r="AW161" s="52">
        <f t="shared" si="105"/>
        <v>0</v>
      </c>
      <c r="AX161" s="52">
        <f t="shared" si="106"/>
        <v>0</v>
      </c>
      <c r="AY161" s="54" t="s">
        <v>207</v>
      </c>
      <c r="AZ161" s="54" t="s">
        <v>425</v>
      </c>
      <c r="BA161" s="34" t="s">
        <v>426</v>
      </c>
      <c r="BC161" s="52">
        <f t="shared" si="107"/>
        <v>0</v>
      </c>
      <c r="BD161" s="52">
        <f t="shared" si="108"/>
        <v>0</v>
      </c>
      <c r="BE161" s="52">
        <v>0</v>
      </c>
      <c r="BF161" s="52">
        <f>161</f>
        <v>161</v>
      </c>
      <c r="BH161" s="52">
        <f t="shared" si="109"/>
        <v>0</v>
      </c>
      <c r="BI161" s="52">
        <f t="shared" si="110"/>
        <v>0</v>
      </c>
      <c r="BJ161" s="52">
        <f t="shared" si="111"/>
        <v>0</v>
      </c>
      <c r="BK161" s="52"/>
      <c r="BL161" s="52">
        <v>18</v>
      </c>
      <c r="BW161" s="52">
        <v>21</v>
      </c>
      <c r="BX161" s="3" t="s">
        <v>437</v>
      </c>
    </row>
    <row r="162" spans="1:76" x14ac:dyDescent="0.25">
      <c r="A162" s="48" t="s">
        <v>4</v>
      </c>
      <c r="B162" s="49" t="s">
        <v>244</v>
      </c>
      <c r="C162" s="143" t="s">
        <v>245</v>
      </c>
      <c r="D162" s="144"/>
      <c r="E162" s="50" t="s">
        <v>73</v>
      </c>
      <c r="F162" s="50" t="s">
        <v>73</v>
      </c>
      <c r="G162" s="50" t="s">
        <v>73</v>
      </c>
      <c r="H162" s="28">
        <f>SUM(H163:H163)</f>
        <v>0</v>
      </c>
      <c r="I162" s="28">
        <f>SUM(I163:I163)</f>
        <v>0</v>
      </c>
      <c r="J162" s="28">
        <f>SUM(J163:J163)</f>
        <v>0</v>
      </c>
      <c r="K162" s="51" t="s">
        <v>4</v>
      </c>
      <c r="AI162" s="34" t="s">
        <v>423</v>
      </c>
      <c r="AS162" s="28">
        <f>SUM(AJ163:AJ163)</f>
        <v>0</v>
      </c>
      <c r="AT162" s="28">
        <f>SUM(AK163:AK163)</f>
        <v>0</v>
      </c>
      <c r="AU162" s="28">
        <f>SUM(AL163:AL163)</f>
        <v>0</v>
      </c>
    </row>
    <row r="163" spans="1:76" x14ac:dyDescent="0.25">
      <c r="A163" s="1" t="s">
        <v>438</v>
      </c>
      <c r="B163" s="2" t="s">
        <v>247</v>
      </c>
      <c r="C163" s="66" t="s">
        <v>248</v>
      </c>
      <c r="D163" s="67"/>
      <c r="E163" s="2" t="s">
        <v>249</v>
      </c>
      <c r="F163" s="52">
        <v>0.2</v>
      </c>
      <c r="G163" s="52">
        <v>0</v>
      </c>
      <c r="H163" s="52">
        <f>F163*AO163</f>
        <v>0</v>
      </c>
      <c r="I163" s="52">
        <f>F163*AP163</f>
        <v>0</v>
      </c>
      <c r="J163" s="52">
        <f>F163*G163</f>
        <v>0</v>
      </c>
      <c r="K163" s="53" t="s">
        <v>125</v>
      </c>
      <c r="Z163" s="52">
        <f>IF(AQ163="5",BJ163,0)</f>
        <v>0</v>
      </c>
      <c r="AB163" s="52">
        <f>IF(AQ163="1",BH163,0)</f>
        <v>0</v>
      </c>
      <c r="AC163" s="52">
        <f>IF(AQ163="1",BI163,0)</f>
        <v>0</v>
      </c>
      <c r="AD163" s="52">
        <f>IF(AQ163="7",BH163,0)</f>
        <v>0</v>
      </c>
      <c r="AE163" s="52">
        <f>IF(AQ163="7",BI163,0)</f>
        <v>0</v>
      </c>
      <c r="AF163" s="52">
        <f>IF(AQ163="2",BH163,0)</f>
        <v>0</v>
      </c>
      <c r="AG163" s="52">
        <f>IF(AQ163="2",BI163,0)</f>
        <v>0</v>
      </c>
      <c r="AH163" s="52">
        <f>IF(AQ163="0",BJ163,0)</f>
        <v>0</v>
      </c>
      <c r="AI163" s="34" t="s">
        <v>423</v>
      </c>
      <c r="AJ163" s="52">
        <f>IF(AN163=0,J163,0)</f>
        <v>0</v>
      </c>
      <c r="AK163" s="52">
        <f>IF(AN163=12,J163,0)</f>
        <v>0</v>
      </c>
      <c r="AL163" s="52">
        <f>IF(AN163=21,J163,0)</f>
        <v>0</v>
      </c>
      <c r="AN163" s="52">
        <v>21</v>
      </c>
      <c r="AO163" s="52">
        <f>G163*0</f>
        <v>0</v>
      </c>
      <c r="AP163" s="52">
        <f>G163*(1-0)</f>
        <v>0</v>
      </c>
      <c r="AQ163" s="54" t="s">
        <v>135</v>
      </c>
      <c r="AV163" s="52">
        <f>AW163+AX163</f>
        <v>0</v>
      </c>
      <c r="AW163" s="52">
        <f>F163*AO163</f>
        <v>0</v>
      </c>
      <c r="AX163" s="52">
        <f>F163*AP163</f>
        <v>0</v>
      </c>
      <c r="AY163" s="54" t="s">
        <v>250</v>
      </c>
      <c r="AZ163" s="54" t="s">
        <v>439</v>
      </c>
      <c r="BA163" s="34" t="s">
        <v>426</v>
      </c>
      <c r="BC163" s="52">
        <f>AW163+AX163</f>
        <v>0</v>
      </c>
      <c r="BD163" s="52">
        <f>G163/(100-BE163)*100</f>
        <v>0</v>
      </c>
      <c r="BE163" s="52">
        <v>0</v>
      </c>
      <c r="BF163" s="52">
        <f>163</f>
        <v>163</v>
      </c>
      <c r="BH163" s="52">
        <f>F163*AO163</f>
        <v>0</v>
      </c>
      <c r="BI163" s="52">
        <f>F163*AP163</f>
        <v>0</v>
      </c>
      <c r="BJ163" s="52">
        <f>F163*G163</f>
        <v>0</v>
      </c>
      <c r="BK163" s="52"/>
      <c r="BL163" s="52"/>
      <c r="BW163" s="52">
        <v>21</v>
      </c>
      <c r="BX163" s="3" t="s">
        <v>248</v>
      </c>
    </row>
    <row r="164" spans="1:76" x14ac:dyDescent="0.25">
      <c r="A164" s="48" t="s">
        <v>4</v>
      </c>
      <c r="B164" s="49" t="s">
        <v>252</v>
      </c>
      <c r="C164" s="143" t="s">
        <v>37</v>
      </c>
      <c r="D164" s="144"/>
      <c r="E164" s="50" t="s">
        <v>73</v>
      </c>
      <c r="F164" s="50" t="s">
        <v>73</v>
      </c>
      <c r="G164" s="50" t="s">
        <v>73</v>
      </c>
      <c r="H164" s="28">
        <f>SUM(H165:H174)</f>
        <v>0</v>
      </c>
      <c r="I164" s="28">
        <f>SUM(I165:I174)</f>
        <v>0</v>
      </c>
      <c r="J164" s="28">
        <f>SUM(J165:J174)</f>
        <v>0</v>
      </c>
      <c r="K164" s="51" t="s">
        <v>4</v>
      </c>
      <c r="AI164" s="34" t="s">
        <v>423</v>
      </c>
      <c r="AS164" s="28">
        <f>SUM(AJ165:AJ174)</f>
        <v>0</v>
      </c>
      <c r="AT164" s="28">
        <f>SUM(AK165:AK174)</f>
        <v>0</v>
      </c>
      <c r="AU164" s="28">
        <f>SUM(AL165:AL174)</f>
        <v>0</v>
      </c>
    </row>
    <row r="165" spans="1:76" x14ac:dyDescent="0.25">
      <c r="A165" s="1" t="s">
        <v>440</v>
      </c>
      <c r="B165" s="2" t="s">
        <v>254</v>
      </c>
      <c r="C165" s="66" t="s">
        <v>441</v>
      </c>
      <c r="D165" s="67"/>
      <c r="E165" s="2" t="s">
        <v>231</v>
      </c>
      <c r="F165" s="52">
        <v>12</v>
      </c>
      <c r="G165" s="52">
        <v>0</v>
      </c>
      <c r="H165" s="52">
        <f>F165*AO165</f>
        <v>0</v>
      </c>
      <c r="I165" s="52">
        <f>F165*AP165</f>
        <v>0</v>
      </c>
      <c r="J165" s="52">
        <f>F165*G165</f>
        <v>0</v>
      </c>
      <c r="K165" s="53" t="s">
        <v>125</v>
      </c>
      <c r="Z165" s="52">
        <f>IF(AQ165="5",BJ165,0)</f>
        <v>0</v>
      </c>
      <c r="AB165" s="52">
        <f>IF(AQ165="1",BH165,0)</f>
        <v>0</v>
      </c>
      <c r="AC165" s="52">
        <f>IF(AQ165="1",BI165,0)</f>
        <v>0</v>
      </c>
      <c r="AD165" s="52">
        <f>IF(AQ165="7",BH165,0)</f>
        <v>0</v>
      </c>
      <c r="AE165" s="52">
        <f>IF(AQ165="7",BI165,0)</f>
        <v>0</v>
      </c>
      <c r="AF165" s="52">
        <f>IF(AQ165="2",BH165,0)</f>
        <v>0</v>
      </c>
      <c r="AG165" s="52">
        <f>IF(AQ165="2",BI165,0)</f>
        <v>0</v>
      </c>
      <c r="AH165" s="52">
        <f>IF(AQ165="0",BJ165,0)</f>
        <v>0</v>
      </c>
      <c r="AI165" s="34" t="s">
        <v>423</v>
      </c>
      <c r="AJ165" s="52">
        <f>IF(AN165=0,J165,0)</f>
        <v>0</v>
      </c>
      <c r="AK165" s="52">
        <f>IF(AN165=12,J165,0)</f>
        <v>0</v>
      </c>
      <c r="AL165" s="52">
        <f>IF(AN165=21,J165,0)</f>
        <v>0</v>
      </c>
      <c r="AN165" s="52">
        <v>21</v>
      </c>
      <c r="AO165" s="52">
        <f>G165*1</f>
        <v>0</v>
      </c>
      <c r="AP165" s="52">
        <f>G165*(1-1)</f>
        <v>0</v>
      </c>
      <c r="AQ165" s="54" t="s">
        <v>256</v>
      </c>
      <c r="AV165" s="52">
        <f>AW165+AX165</f>
        <v>0</v>
      </c>
      <c r="AW165" s="52">
        <f>F165*AO165</f>
        <v>0</v>
      </c>
      <c r="AX165" s="52">
        <f>F165*AP165</f>
        <v>0</v>
      </c>
      <c r="AY165" s="54" t="s">
        <v>257</v>
      </c>
      <c r="AZ165" s="54" t="s">
        <v>442</v>
      </c>
      <c r="BA165" s="34" t="s">
        <v>426</v>
      </c>
      <c r="BC165" s="52">
        <f>AW165+AX165</f>
        <v>0</v>
      </c>
      <c r="BD165" s="52">
        <f>G165/(100-BE165)*100</f>
        <v>0</v>
      </c>
      <c r="BE165" s="52">
        <v>0</v>
      </c>
      <c r="BF165" s="52">
        <f>165</f>
        <v>165</v>
      </c>
      <c r="BH165" s="52">
        <f>F165*AO165</f>
        <v>0</v>
      </c>
      <c r="BI165" s="52">
        <f>F165*AP165</f>
        <v>0</v>
      </c>
      <c r="BJ165" s="52">
        <f>F165*G165</f>
        <v>0</v>
      </c>
      <c r="BK165" s="52"/>
      <c r="BL165" s="52"/>
      <c r="BW165" s="52">
        <v>21</v>
      </c>
      <c r="BX165" s="3" t="s">
        <v>441</v>
      </c>
    </row>
    <row r="166" spans="1:76" x14ac:dyDescent="0.25">
      <c r="A166" s="1" t="s">
        <v>443</v>
      </c>
      <c r="B166" s="2" t="s">
        <v>260</v>
      </c>
      <c r="C166" s="66" t="s">
        <v>261</v>
      </c>
      <c r="D166" s="67"/>
      <c r="E166" s="2" t="s">
        <v>231</v>
      </c>
      <c r="F166" s="52">
        <v>1</v>
      </c>
      <c r="G166" s="52">
        <v>0</v>
      </c>
      <c r="H166" s="52">
        <f>F166*AO166</f>
        <v>0</v>
      </c>
      <c r="I166" s="52">
        <f>F166*AP166</f>
        <v>0</v>
      </c>
      <c r="J166" s="52">
        <f>F166*G166</f>
        <v>0</v>
      </c>
      <c r="K166" s="53" t="s">
        <v>125</v>
      </c>
      <c r="Z166" s="52">
        <f>IF(AQ166="5",BJ166,0)</f>
        <v>0</v>
      </c>
      <c r="AB166" s="52">
        <f>IF(AQ166="1",BH166,0)</f>
        <v>0</v>
      </c>
      <c r="AC166" s="52">
        <f>IF(AQ166="1",BI166,0)</f>
        <v>0</v>
      </c>
      <c r="AD166" s="52">
        <f>IF(AQ166="7",BH166,0)</f>
        <v>0</v>
      </c>
      <c r="AE166" s="52">
        <f>IF(AQ166="7",BI166,0)</f>
        <v>0</v>
      </c>
      <c r="AF166" s="52">
        <f>IF(AQ166="2",BH166,0)</f>
        <v>0</v>
      </c>
      <c r="AG166" s="52">
        <f>IF(AQ166="2",BI166,0)</f>
        <v>0</v>
      </c>
      <c r="AH166" s="52">
        <f>IF(AQ166="0",BJ166,0)</f>
        <v>0</v>
      </c>
      <c r="AI166" s="34" t="s">
        <v>423</v>
      </c>
      <c r="AJ166" s="52">
        <f>IF(AN166=0,J166,0)</f>
        <v>0</v>
      </c>
      <c r="AK166" s="52">
        <f>IF(AN166=12,J166,0)</f>
        <v>0</v>
      </c>
      <c r="AL166" s="52">
        <f>IF(AN166=21,J166,0)</f>
        <v>0</v>
      </c>
      <c r="AN166" s="52">
        <v>21</v>
      </c>
      <c r="AO166" s="52">
        <f>G166*1</f>
        <v>0</v>
      </c>
      <c r="AP166" s="52">
        <f>G166*(1-1)</f>
        <v>0</v>
      </c>
      <c r="AQ166" s="54" t="s">
        <v>256</v>
      </c>
      <c r="AV166" s="52">
        <f>AW166+AX166</f>
        <v>0</v>
      </c>
      <c r="AW166" s="52">
        <f>F166*AO166</f>
        <v>0</v>
      </c>
      <c r="AX166" s="52">
        <f>F166*AP166</f>
        <v>0</v>
      </c>
      <c r="AY166" s="54" t="s">
        <v>257</v>
      </c>
      <c r="AZ166" s="54" t="s">
        <v>442</v>
      </c>
      <c r="BA166" s="34" t="s">
        <v>426</v>
      </c>
      <c r="BC166" s="52">
        <f>AW166+AX166</f>
        <v>0</v>
      </c>
      <c r="BD166" s="52">
        <f>G166/(100-BE166)*100</f>
        <v>0</v>
      </c>
      <c r="BE166" s="52">
        <v>0</v>
      </c>
      <c r="BF166" s="52">
        <f>166</f>
        <v>166</v>
      </c>
      <c r="BH166" s="52">
        <f>F166*AO166</f>
        <v>0</v>
      </c>
      <c r="BI166" s="52">
        <f>F166*AP166</f>
        <v>0</v>
      </c>
      <c r="BJ166" s="52">
        <f>F166*G166</f>
        <v>0</v>
      </c>
      <c r="BK166" s="52"/>
      <c r="BL166" s="52"/>
      <c r="BW166" s="52">
        <v>21</v>
      </c>
      <c r="BX166" s="3" t="s">
        <v>261</v>
      </c>
    </row>
    <row r="167" spans="1:76" x14ac:dyDescent="0.25">
      <c r="A167" s="1" t="s">
        <v>444</v>
      </c>
      <c r="B167" s="2" t="s">
        <v>263</v>
      </c>
      <c r="C167" s="66" t="s">
        <v>264</v>
      </c>
      <c r="D167" s="67"/>
      <c r="E167" s="2" t="s">
        <v>129</v>
      </c>
      <c r="F167" s="52">
        <v>0.1</v>
      </c>
      <c r="G167" s="52">
        <v>0</v>
      </c>
      <c r="H167" s="52">
        <f>F167*AO167</f>
        <v>0</v>
      </c>
      <c r="I167" s="52">
        <f>F167*AP167</f>
        <v>0</v>
      </c>
      <c r="J167" s="52">
        <f>F167*G167</f>
        <v>0</v>
      </c>
      <c r="K167" s="53" t="s">
        <v>125</v>
      </c>
      <c r="Z167" s="52">
        <f>IF(AQ167="5",BJ167,0)</f>
        <v>0</v>
      </c>
      <c r="AB167" s="52">
        <f>IF(AQ167="1",BH167,0)</f>
        <v>0</v>
      </c>
      <c r="AC167" s="52">
        <f>IF(AQ167="1",BI167,0)</f>
        <v>0</v>
      </c>
      <c r="AD167" s="52">
        <f>IF(AQ167="7",BH167,0)</f>
        <v>0</v>
      </c>
      <c r="AE167" s="52">
        <f>IF(AQ167="7",BI167,0)</f>
        <v>0</v>
      </c>
      <c r="AF167" s="52">
        <f>IF(AQ167="2",BH167,0)</f>
        <v>0</v>
      </c>
      <c r="AG167" s="52">
        <f>IF(AQ167="2",BI167,0)</f>
        <v>0</v>
      </c>
      <c r="AH167" s="52">
        <f>IF(AQ167="0",BJ167,0)</f>
        <v>0</v>
      </c>
      <c r="AI167" s="34" t="s">
        <v>423</v>
      </c>
      <c r="AJ167" s="52">
        <f>IF(AN167=0,J167,0)</f>
        <v>0</v>
      </c>
      <c r="AK167" s="52">
        <f>IF(AN167=12,J167,0)</f>
        <v>0</v>
      </c>
      <c r="AL167" s="52">
        <f>IF(AN167=21,J167,0)</f>
        <v>0</v>
      </c>
      <c r="AN167" s="52">
        <v>21</v>
      </c>
      <c r="AO167" s="52">
        <f>G167*1</f>
        <v>0</v>
      </c>
      <c r="AP167" s="52">
        <f>G167*(1-1)</f>
        <v>0</v>
      </c>
      <c r="AQ167" s="54" t="s">
        <v>256</v>
      </c>
      <c r="AV167" s="52">
        <f>AW167+AX167</f>
        <v>0</v>
      </c>
      <c r="AW167" s="52">
        <f>F167*AO167</f>
        <v>0</v>
      </c>
      <c r="AX167" s="52">
        <f>F167*AP167</f>
        <v>0</v>
      </c>
      <c r="AY167" s="54" t="s">
        <v>257</v>
      </c>
      <c r="AZ167" s="54" t="s">
        <v>442</v>
      </c>
      <c r="BA167" s="34" t="s">
        <v>426</v>
      </c>
      <c r="BC167" s="52">
        <f>AW167+AX167</f>
        <v>0</v>
      </c>
      <c r="BD167" s="52">
        <f>G167/(100-BE167)*100</f>
        <v>0</v>
      </c>
      <c r="BE167" s="52">
        <v>0</v>
      </c>
      <c r="BF167" s="52">
        <f>167</f>
        <v>167</v>
      </c>
      <c r="BH167" s="52">
        <f>F167*AO167</f>
        <v>0</v>
      </c>
      <c r="BI167" s="52">
        <f>F167*AP167</f>
        <v>0</v>
      </c>
      <c r="BJ167" s="52">
        <f>F167*G167</f>
        <v>0</v>
      </c>
      <c r="BK167" s="52"/>
      <c r="BL167" s="52"/>
      <c r="BW167" s="52">
        <v>21</v>
      </c>
      <c r="BX167" s="3" t="s">
        <v>264</v>
      </c>
    </row>
    <row r="168" spans="1:76" x14ac:dyDescent="0.25">
      <c r="A168" s="1" t="s">
        <v>445</v>
      </c>
      <c r="B168" s="2" t="s">
        <v>285</v>
      </c>
      <c r="C168" s="66" t="s">
        <v>286</v>
      </c>
      <c r="D168" s="67"/>
      <c r="E168" s="2" t="s">
        <v>231</v>
      </c>
      <c r="F168" s="52">
        <v>1</v>
      </c>
      <c r="G168" s="52">
        <v>0</v>
      </c>
      <c r="H168" s="52">
        <f>F168*AO168</f>
        <v>0</v>
      </c>
      <c r="I168" s="52">
        <f>F168*AP168</f>
        <v>0</v>
      </c>
      <c r="J168" s="52">
        <f>F168*G168</f>
        <v>0</v>
      </c>
      <c r="K168" s="53" t="s">
        <v>125</v>
      </c>
      <c r="Z168" s="52">
        <f>IF(AQ168="5",BJ168,0)</f>
        <v>0</v>
      </c>
      <c r="AB168" s="52">
        <f>IF(AQ168="1",BH168,0)</f>
        <v>0</v>
      </c>
      <c r="AC168" s="52">
        <f>IF(AQ168="1",BI168,0)</f>
        <v>0</v>
      </c>
      <c r="AD168" s="52">
        <f>IF(AQ168="7",BH168,0)</f>
        <v>0</v>
      </c>
      <c r="AE168" s="52">
        <f>IF(AQ168="7",BI168,0)</f>
        <v>0</v>
      </c>
      <c r="AF168" s="52">
        <f>IF(AQ168="2",BH168,0)</f>
        <v>0</v>
      </c>
      <c r="AG168" s="52">
        <f>IF(AQ168="2",BI168,0)</f>
        <v>0</v>
      </c>
      <c r="AH168" s="52">
        <f>IF(AQ168="0",BJ168,0)</f>
        <v>0</v>
      </c>
      <c r="AI168" s="34" t="s">
        <v>423</v>
      </c>
      <c r="AJ168" s="52">
        <f>IF(AN168=0,J168,0)</f>
        <v>0</v>
      </c>
      <c r="AK168" s="52">
        <f>IF(AN168=12,J168,0)</f>
        <v>0</v>
      </c>
      <c r="AL168" s="52">
        <f>IF(AN168=21,J168,0)</f>
        <v>0</v>
      </c>
      <c r="AN168" s="52">
        <v>21</v>
      </c>
      <c r="AO168" s="52">
        <f>G168*1</f>
        <v>0</v>
      </c>
      <c r="AP168" s="52">
        <f>G168*(1-1)</f>
        <v>0</v>
      </c>
      <c r="AQ168" s="54" t="s">
        <v>256</v>
      </c>
      <c r="AV168" s="52">
        <f>AW168+AX168</f>
        <v>0</v>
      </c>
      <c r="AW168" s="52">
        <f>F168*AO168</f>
        <v>0</v>
      </c>
      <c r="AX168" s="52">
        <f>F168*AP168</f>
        <v>0</v>
      </c>
      <c r="AY168" s="54" t="s">
        <v>257</v>
      </c>
      <c r="AZ168" s="54" t="s">
        <v>442</v>
      </c>
      <c r="BA168" s="34" t="s">
        <v>426</v>
      </c>
      <c r="BC168" s="52">
        <f>AW168+AX168</f>
        <v>0</v>
      </c>
      <c r="BD168" s="52">
        <f>G168/(100-BE168)*100</f>
        <v>0</v>
      </c>
      <c r="BE168" s="52">
        <v>0</v>
      </c>
      <c r="BF168" s="52">
        <f>168</f>
        <v>168</v>
      </c>
      <c r="BH168" s="52">
        <f>F168*AO168</f>
        <v>0</v>
      </c>
      <c r="BI168" s="52">
        <f>F168*AP168</f>
        <v>0</v>
      </c>
      <c r="BJ168" s="52">
        <f>F168*G168</f>
        <v>0</v>
      </c>
      <c r="BK168" s="52"/>
      <c r="BL168" s="52"/>
      <c r="BW168" s="52">
        <v>21</v>
      </c>
      <c r="BX168" s="3" t="s">
        <v>286</v>
      </c>
    </row>
    <row r="169" spans="1:76" ht="13.5" customHeight="1" x14ac:dyDescent="0.25">
      <c r="A169" s="55"/>
      <c r="B169" s="56" t="s">
        <v>57</v>
      </c>
      <c r="C169" s="138" t="s">
        <v>446</v>
      </c>
      <c r="D169" s="139"/>
      <c r="E169" s="139"/>
      <c r="F169" s="139"/>
      <c r="G169" s="139"/>
      <c r="H169" s="139"/>
      <c r="I169" s="139"/>
      <c r="J169" s="139"/>
      <c r="K169" s="140"/>
    </row>
    <row r="170" spans="1:76" x14ac:dyDescent="0.25">
      <c r="A170" s="1" t="s">
        <v>447</v>
      </c>
      <c r="B170" s="2" t="s">
        <v>289</v>
      </c>
      <c r="C170" s="66" t="s">
        <v>448</v>
      </c>
      <c r="D170" s="67"/>
      <c r="E170" s="2" t="s">
        <v>231</v>
      </c>
      <c r="F170" s="52">
        <v>3</v>
      </c>
      <c r="G170" s="52">
        <v>0</v>
      </c>
      <c r="H170" s="52">
        <f>F170*AO170</f>
        <v>0</v>
      </c>
      <c r="I170" s="52">
        <f>F170*AP170</f>
        <v>0</v>
      </c>
      <c r="J170" s="52">
        <f>F170*G170</f>
        <v>0</v>
      </c>
      <c r="K170" s="53" t="s">
        <v>125</v>
      </c>
      <c r="Z170" s="52">
        <f>IF(AQ170="5",BJ170,0)</f>
        <v>0</v>
      </c>
      <c r="AB170" s="52">
        <f>IF(AQ170="1",BH170,0)</f>
        <v>0</v>
      </c>
      <c r="AC170" s="52">
        <f>IF(AQ170="1",BI170,0)</f>
        <v>0</v>
      </c>
      <c r="AD170" s="52">
        <f>IF(AQ170="7",BH170,0)</f>
        <v>0</v>
      </c>
      <c r="AE170" s="52">
        <f>IF(AQ170="7",BI170,0)</f>
        <v>0</v>
      </c>
      <c r="AF170" s="52">
        <f>IF(AQ170="2",BH170,0)</f>
        <v>0</v>
      </c>
      <c r="AG170" s="52">
        <f>IF(AQ170="2",BI170,0)</f>
        <v>0</v>
      </c>
      <c r="AH170" s="52">
        <f>IF(AQ170="0",BJ170,0)</f>
        <v>0</v>
      </c>
      <c r="AI170" s="34" t="s">
        <v>423</v>
      </c>
      <c r="AJ170" s="52">
        <f>IF(AN170=0,J170,0)</f>
        <v>0</v>
      </c>
      <c r="AK170" s="52">
        <f>IF(AN170=12,J170,0)</f>
        <v>0</v>
      </c>
      <c r="AL170" s="52">
        <f>IF(AN170=21,J170,0)</f>
        <v>0</v>
      </c>
      <c r="AN170" s="52">
        <v>21</v>
      </c>
      <c r="AO170" s="52">
        <f>G170*1</f>
        <v>0</v>
      </c>
      <c r="AP170" s="52">
        <f>G170*(1-1)</f>
        <v>0</v>
      </c>
      <c r="AQ170" s="54" t="s">
        <v>256</v>
      </c>
      <c r="AV170" s="52">
        <f>AW170+AX170</f>
        <v>0</v>
      </c>
      <c r="AW170" s="52">
        <f>F170*AO170</f>
        <v>0</v>
      </c>
      <c r="AX170" s="52">
        <f>F170*AP170</f>
        <v>0</v>
      </c>
      <c r="AY170" s="54" t="s">
        <v>257</v>
      </c>
      <c r="AZ170" s="54" t="s">
        <v>442</v>
      </c>
      <c r="BA170" s="34" t="s">
        <v>426</v>
      </c>
      <c r="BC170" s="52">
        <f>AW170+AX170</f>
        <v>0</v>
      </c>
      <c r="BD170" s="52">
        <f>G170/(100-BE170)*100</f>
        <v>0</v>
      </c>
      <c r="BE170" s="52">
        <v>0</v>
      </c>
      <c r="BF170" s="52">
        <f>170</f>
        <v>170</v>
      </c>
      <c r="BH170" s="52">
        <f>F170*AO170</f>
        <v>0</v>
      </c>
      <c r="BI170" s="52">
        <f>F170*AP170</f>
        <v>0</v>
      </c>
      <c r="BJ170" s="52">
        <f>F170*G170</f>
        <v>0</v>
      </c>
      <c r="BK170" s="52"/>
      <c r="BL170" s="52"/>
      <c r="BW170" s="52">
        <v>21</v>
      </c>
      <c r="BX170" s="3" t="s">
        <v>448</v>
      </c>
    </row>
    <row r="171" spans="1:76" x14ac:dyDescent="0.25">
      <c r="A171" s="1" t="s">
        <v>449</v>
      </c>
      <c r="B171" s="2" t="s">
        <v>292</v>
      </c>
      <c r="C171" s="66" t="s">
        <v>450</v>
      </c>
      <c r="D171" s="67"/>
      <c r="E171" s="2" t="s">
        <v>231</v>
      </c>
      <c r="F171" s="52">
        <v>3</v>
      </c>
      <c r="G171" s="52">
        <v>0</v>
      </c>
      <c r="H171" s="52">
        <f>F171*AO171</f>
        <v>0</v>
      </c>
      <c r="I171" s="52">
        <f>F171*AP171</f>
        <v>0</v>
      </c>
      <c r="J171" s="52">
        <f>F171*G171</f>
        <v>0</v>
      </c>
      <c r="K171" s="53" t="s">
        <v>125</v>
      </c>
      <c r="Z171" s="52">
        <f>IF(AQ171="5",BJ171,0)</f>
        <v>0</v>
      </c>
      <c r="AB171" s="52">
        <f>IF(AQ171="1",BH171,0)</f>
        <v>0</v>
      </c>
      <c r="AC171" s="52">
        <f>IF(AQ171="1",BI171,0)</f>
        <v>0</v>
      </c>
      <c r="AD171" s="52">
        <f>IF(AQ171="7",BH171,0)</f>
        <v>0</v>
      </c>
      <c r="AE171" s="52">
        <f>IF(AQ171="7",BI171,0)</f>
        <v>0</v>
      </c>
      <c r="AF171" s="52">
        <f>IF(AQ171="2",BH171,0)</f>
        <v>0</v>
      </c>
      <c r="AG171" s="52">
        <f>IF(AQ171="2",BI171,0)</f>
        <v>0</v>
      </c>
      <c r="AH171" s="52">
        <f>IF(AQ171="0",BJ171,0)</f>
        <v>0</v>
      </c>
      <c r="AI171" s="34" t="s">
        <v>423</v>
      </c>
      <c r="AJ171" s="52">
        <f>IF(AN171=0,J171,0)</f>
        <v>0</v>
      </c>
      <c r="AK171" s="52">
        <f>IF(AN171=12,J171,0)</f>
        <v>0</v>
      </c>
      <c r="AL171" s="52">
        <f>IF(AN171=21,J171,0)</f>
        <v>0</v>
      </c>
      <c r="AN171" s="52">
        <v>21</v>
      </c>
      <c r="AO171" s="52">
        <f>G171*1</f>
        <v>0</v>
      </c>
      <c r="AP171" s="52">
        <f>G171*(1-1)</f>
        <v>0</v>
      </c>
      <c r="AQ171" s="54" t="s">
        <v>256</v>
      </c>
      <c r="AV171" s="52">
        <f>AW171+AX171</f>
        <v>0</v>
      </c>
      <c r="AW171" s="52">
        <f>F171*AO171</f>
        <v>0</v>
      </c>
      <c r="AX171" s="52">
        <f>F171*AP171</f>
        <v>0</v>
      </c>
      <c r="AY171" s="54" t="s">
        <v>257</v>
      </c>
      <c r="AZ171" s="54" t="s">
        <v>442</v>
      </c>
      <c r="BA171" s="34" t="s">
        <v>426</v>
      </c>
      <c r="BC171" s="52">
        <f>AW171+AX171</f>
        <v>0</v>
      </c>
      <c r="BD171" s="52">
        <f>G171/(100-BE171)*100</f>
        <v>0</v>
      </c>
      <c r="BE171" s="52">
        <v>0</v>
      </c>
      <c r="BF171" s="52">
        <f>171</f>
        <v>171</v>
      </c>
      <c r="BH171" s="52">
        <f>F171*AO171</f>
        <v>0</v>
      </c>
      <c r="BI171" s="52">
        <f>F171*AP171</f>
        <v>0</v>
      </c>
      <c r="BJ171" s="52">
        <f>F171*G171</f>
        <v>0</v>
      </c>
      <c r="BK171" s="52"/>
      <c r="BL171" s="52"/>
      <c r="BW171" s="52">
        <v>21</v>
      </c>
      <c r="BX171" s="3" t="s">
        <v>450</v>
      </c>
    </row>
    <row r="172" spans="1:76" x14ac:dyDescent="0.25">
      <c r="A172" s="1" t="s">
        <v>451</v>
      </c>
      <c r="B172" s="2" t="s">
        <v>295</v>
      </c>
      <c r="C172" s="66" t="s">
        <v>452</v>
      </c>
      <c r="D172" s="67"/>
      <c r="E172" s="2" t="s">
        <v>231</v>
      </c>
      <c r="F172" s="52">
        <v>3</v>
      </c>
      <c r="G172" s="52">
        <v>0</v>
      </c>
      <c r="H172" s="52">
        <f>F172*AO172</f>
        <v>0</v>
      </c>
      <c r="I172" s="52">
        <f>F172*AP172</f>
        <v>0</v>
      </c>
      <c r="J172" s="52">
        <f>F172*G172</f>
        <v>0</v>
      </c>
      <c r="K172" s="53" t="s">
        <v>125</v>
      </c>
      <c r="Z172" s="52">
        <f>IF(AQ172="5",BJ172,0)</f>
        <v>0</v>
      </c>
      <c r="AB172" s="52">
        <f>IF(AQ172="1",BH172,0)</f>
        <v>0</v>
      </c>
      <c r="AC172" s="52">
        <f>IF(AQ172="1",BI172,0)</f>
        <v>0</v>
      </c>
      <c r="AD172" s="52">
        <f>IF(AQ172="7",BH172,0)</f>
        <v>0</v>
      </c>
      <c r="AE172" s="52">
        <f>IF(AQ172="7",BI172,0)</f>
        <v>0</v>
      </c>
      <c r="AF172" s="52">
        <f>IF(AQ172="2",BH172,0)</f>
        <v>0</v>
      </c>
      <c r="AG172" s="52">
        <f>IF(AQ172="2",BI172,0)</f>
        <v>0</v>
      </c>
      <c r="AH172" s="52">
        <f>IF(AQ172="0",BJ172,0)</f>
        <v>0</v>
      </c>
      <c r="AI172" s="34" t="s">
        <v>423</v>
      </c>
      <c r="AJ172" s="52">
        <f>IF(AN172=0,J172,0)</f>
        <v>0</v>
      </c>
      <c r="AK172" s="52">
        <f>IF(AN172=12,J172,0)</f>
        <v>0</v>
      </c>
      <c r="AL172" s="52">
        <f>IF(AN172=21,J172,0)</f>
        <v>0</v>
      </c>
      <c r="AN172" s="52">
        <v>21</v>
      </c>
      <c r="AO172" s="52">
        <f>G172*1</f>
        <v>0</v>
      </c>
      <c r="AP172" s="52">
        <f>G172*(1-1)</f>
        <v>0</v>
      </c>
      <c r="AQ172" s="54" t="s">
        <v>256</v>
      </c>
      <c r="AV172" s="52">
        <f>AW172+AX172</f>
        <v>0</v>
      </c>
      <c r="AW172" s="52">
        <f>F172*AO172</f>
        <v>0</v>
      </c>
      <c r="AX172" s="52">
        <f>F172*AP172</f>
        <v>0</v>
      </c>
      <c r="AY172" s="54" t="s">
        <v>257</v>
      </c>
      <c r="AZ172" s="54" t="s">
        <v>442</v>
      </c>
      <c r="BA172" s="34" t="s">
        <v>426</v>
      </c>
      <c r="BC172" s="52">
        <f>AW172+AX172</f>
        <v>0</v>
      </c>
      <c r="BD172" s="52">
        <f>G172/(100-BE172)*100</f>
        <v>0</v>
      </c>
      <c r="BE172" s="52">
        <v>0</v>
      </c>
      <c r="BF172" s="52">
        <f>172</f>
        <v>172</v>
      </c>
      <c r="BH172" s="52">
        <f>F172*AO172</f>
        <v>0</v>
      </c>
      <c r="BI172" s="52">
        <f>F172*AP172</f>
        <v>0</v>
      </c>
      <c r="BJ172" s="52">
        <f>F172*G172</f>
        <v>0</v>
      </c>
      <c r="BK172" s="52"/>
      <c r="BL172" s="52"/>
      <c r="BW172" s="52">
        <v>21</v>
      </c>
      <c r="BX172" s="3" t="s">
        <v>452</v>
      </c>
    </row>
    <row r="173" spans="1:76" ht="25.5" x14ac:dyDescent="0.25">
      <c r="A173" s="1" t="s">
        <v>453</v>
      </c>
      <c r="B173" s="2" t="s">
        <v>298</v>
      </c>
      <c r="C173" s="66" t="s">
        <v>299</v>
      </c>
      <c r="D173" s="67"/>
      <c r="E173" s="2" t="s">
        <v>300</v>
      </c>
      <c r="F173" s="52">
        <v>0.5</v>
      </c>
      <c r="G173" s="52">
        <v>0</v>
      </c>
      <c r="H173" s="52">
        <f>F173*AO173</f>
        <v>0</v>
      </c>
      <c r="I173" s="52">
        <f>F173*AP173</f>
        <v>0</v>
      </c>
      <c r="J173" s="52">
        <f>F173*G173</f>
        <v>0</v>
      </c>
      <c r="K173" s="53" t="s">
        <v>125</v>
      </c>
      <c r="Z173" s="52">
        <f>IF(AQ173="5",BJ173,0)</f>
        <v>0</v>
      </c>
      <c r="AB173" s="52">
        <f>IF(AQ173="1",BH173,0)</f>
        <v>0</v>
      </c>
      <c r="AC173" s="52">
        <f>IF(AQ173="1",BI173,0)</f>
        <v>0</v>
      </c>
      <c r="AD173" s="52">
        <f>IF(AQ173="7",BH173,0)</f>
        <v>0</v>
      </c>
      <c r="AE173" s="52">
        <f>IF(AQ173="7",BI173,0)</f>
        <v>0</v>
      </c>
      <c r="AF173" s="52">
        <f>IF(AQ173="2",BH173,0)</f>
        <v>0</v>
      </c>
      <c r="AG173" s="52">
        <f>IF(AQ173="2",BI173,0)</f>
        <v>0</v>
      </c>
      <c r="AH173" s="52">
        <f>IF(AQ173="0",BJ173,0)</f>
        <v>0</v>
      </c>
      <c r="AI173" s="34" t="s">
        <v>423</v>
      </c>
      <c r="AJ173" s="52">
        <f>IF(AN173=0,J173,0)</f>
        <v>0</v>
      </c>
      <c r="AK173" s="52">
        <f>IF(AN173=12,J173,0)</f>
        <v>0</v>
      </c>
      <c r="AL173" s="52">
        <f>IF(AN173=21,J173,0)</f>
        <v>0</v>
      </c>
      <c r="AN173" s="52">
        <v>21</v>
      </c>
      <c r="AO173" s="52">
        <f>G173*1</f>
        <v>0</v>
      </c>
      <c r="AP173" s="52">
        <f>G173*(1-1)</f>
        <v>0</v>
      </c>
      <c r="AQ173" s="54" t="s">
        <v>256</v>
      </c>
      <c r="AV173" s="52">
        <f>AW173+AX173</f>
        <v>0</v>
      </c>
      <c r="AW173" s="52">
        <f>F173*AO173</f>
        <v>0</v>
      </c>
      <c r="AX173" s="52">
        <f>F173*AP173</f>
        <v>0</v>
      </c>
      <c r="AY173" s="54" t="s">
        <v>257</v>
      </c>
      <c r="AZ173" s="54" t="s">
        <v>442</v>
      </c>
      <c r="BA173" s="34" t="s">
        <v>426</v>
      </c>
      <c r="BC173" s="52">
        <f>AW173+AX173</f>
        <v>0</v>
      </c>
      <c r="BD173" s="52">
        <f>G173/(100-BE173)*100</f>
        <v>0</v>
      </c>
      <c r="BE173" s="52">
        <v>0</v>
      </c>
      <c r="BF173" s="52">
        <f>173</f>
        <v>173</v>
      </c>
      <c r="BH173" s="52">
        <f>F173*AO173</f>
        <v>0</v>
      </c>
      <c r="BI173" s="52">
        <f>F173*AP173</f>
        <v>0</v>
      </c>
      <c r="BJ173" s="52">
        <f>F173*G173</f>
        <v>0</v>
      </c>
      <c r="BK173" s="52"/>
      <c r="BL173" s="52"/>
      <c r="BW173" s="52">
        <v>21</v>
      </c>
      <c r="BX173" s="3" t="s">
        <v>299</v>
      </c>
    </row>
    <row r="174" spans="1:76" x14ac:dyDescent="0.25">
      <c r="A174" s="1" t="s">
        <v>454</v>
      </c>
      <c r="B174" s="2" t="s">
        <v>302</v>
      </c>
      <c r="C174" s="66" t="s">
        <v>303</v>
      </c>
      <c r="D174" s="67"/>
      <c r="E174" s="2" t="s">
        <v>129</v>
      </c>
      <c r="F174" s="52">
        <v>0.06</v>
      </c>
      <c r="G174" s="52">
        <v>0</v>
      </c>
      <c r="H174" s="52">
        <f>F174*AO174</f>
        <v>0</v>
      </c>
      <c r="I174" s="52">
        <f>F174*AP174</f>
        <v>0</v>
      </c>
      <c r="J174" s="52">
        <f>F174*G174</f>
        <v>0</v>
      </c>
      <c r="K174" s="53" t="s">
        <v>125</v>
      </c>
      <c r="Z174" s="52">
        <f>IF(AQ174="5",BJ174,0)</f>
        <v>0</v>
      </c>
      <c r="AB174" s="52">
        <f>IF(AQ174="1",BH174,0)</f>
        <v>0</v>
      </c>
      <c r="AC174" s="52">
        <f>IF(AQ174="1",BI174,0)</f>
        <v>0</v>
      </c>
      <c r="AD174" s="52">
        <f>IF(AQ174="7",BH174,0)</f>
        <v>0</v>
      </c>
      <c r="AE174" s="52">
        <f>IF(AQ174="7",BI174,0)</f>
        <v>0</v>
      </c>
      <c r="AF174" s="52">
        <f>IF(AQ174="2",BH174,0)</f>
        <v>0</v>
      </c>
      <c r="AG174" s="52">
        <f>IF(AQ174="2",BI174,0)</f>
        <v>0</v>
      </c>
      <c r="AH174" s="52">
        <f>IF(AQ174="0",BJ174,0)</f>
        <v>0</v>
      </c>
      <c r="AI174" s="34" t="s">
        <v>423</v>
      </c>
      <c r="AJ174" s="52">
        <f>IF(AN174=0,J174,0)</f>
        <v>0</v>
      </c>
      <c r="AK174" s="52">
        <f>IF(AN174=12,J174,0)</f>
        <v>0</v>
      </c>
      <c r="AL174" s="52">
        <f>IF(AN174=21,J174,0)</f>
        <v>0</v>
      </c>
      <c r="AN174" s="52">
        <v>21</v>
      </c>
      <c r="AO174" s="52">
        <f>G174*1</f>
        <v>0</v>
      </c>
      <c r="AP174" s="52">
        <f>G174*(1-1)</f>
        <v>0</v>
      </c>
      <c r="AQ174" s="54" t="s">
        <v>256</v>
      </c>
      <c r="AV174" s="52">
        <f>AW174+AX174</f>
        <v>0</v>
      </c>
      <c r="AW174" s="52">
        <f>F174*AO174</f>
        <v>0</v>
      </c>
      <c r="AX174" s="52">
        <f>F174*AP174</f>
        <v>0</v>
      </c>
      <c r="AY174" s="54" t="s">
        <v>257</v>
      </c>
      <c r="AZ174" s="54" t="s">
        <v>442</v>
      </c>
      <c r="BA174" s="34" t="s">
        <v>426</v>
      </c>
      <c r="BC174" s="52">
        <f>AW174+AX174</f>
        <v>0</v>
      </c>
      <c r="BD174" s="52">
        <f>G174/(100-BE174)*100</f>
        <v>0</v>
      </c>
      <c r="BE174" s="52">
        <v>0</v>
      </c>
      <c r="BF174" s="52">
        <f>174</f>
        <v>174</v>
      </c>
      <c r="BH174" s="52">
        <f>F174*AO174</f>
        <v>0</v>
      </c>
      <c r="BI174" s="52">
        <f>F174*AP174</f>
        <v>0</v>
      </c>
      <c r="BJ174" s="52">
        <f>F174*G174</f>
        <v>0</v>
      </c>
      <c r="BK174" s="52"/>
      <c r="BL174" s="52"/>
      <c r="BW174" s="52">
        <v>21</v>
      </c>
      <c r="BX174" s="3" t="s">
        <v>303</v>
      </c>
    </row>
    <row r="175" spans="1:76" x14ac:dyDescent="0.25">
      <c r="A175" s="57" t="s">
        <v>4</v>
      </c>
      <c r="B175" s="58" t="s">
        <v>4</v>
      </c>
      <c r="C175" s="141" t="s">
        <v>455</v>
      </c>
      <c r="D175" s="142"/>
      <c r="E175" s="59" t="s">
        <v>73</v>
      </c>
      <c r="F175" s="59" t="s">
        <v>73</v>
      </c>
      <c r="G175" s="59" t="s">
        <v>73</v>
      </c>
      <c r="H175" s="60">
        <f>H176+H178+H186+H189+H191</f>
        <v>0</v>
      </c>
      <c r="I175" s="60">
        <f>I176+I178+I186+I189+I191</f>
        <v>0</v>
      </c>
      <c r="J175" s="60">
        <f>J176+J178+J186+J189+J191</f>
        <v>0</v>
      </c>
      <c r="K175" s="61" t="s">
        <v>4</v>
      </c>
    </row>
    <row r="176" spans="1:76" x14ac:dyDescent="0.25">
      <c r="A176" s="48" t="s">
        <v>4</v>
      </c>
      <c r="B176" s="49" t="s">
        <v>111</v>
      </c>
      <c r="C176" s="143" t="s">
        <v>112</v>
      </c>
      <c r="D176" s="144"/>
      <c r="E176" s="50" t="s">
        <v>73</v>
      </c>
      <c r="F176" s="50" t="s">
        <v>73</v>
      </c>
      <c r="G176" s="50" t="s">
        <v>73</v>
      </c>
      <c r="H176" s="28">
        <f>SUM(H177:H177)</f>
        <v>0</v>
      </c>
      <c r="I176" s="28">
        <f>SUM(I177:I177)</f>
        <v>0</v>
      </c>
      <c r="J176" s="28">
        <f>SUM(J177:J177)</f>
        <v>0</v>
      </c>
      <c r="K176" s="51" t="s">
        <v>4</v>
      </c>
      <c r="AI176" s="34" t="s">
        <v>151</v>
      </c>
      <c r="AS176" s="28">
        <f>SUM(AJ177:AJ177)</f>
        <v>0</v>
      </c>
      <c r="AT176" s="28">
        <f>SUM(AK177:AK177)</f>
        <v>0</v>
      </c>
      <c r="AU176" s="28">
        <f>SUM(AL177:AL177)</f>
        <v>0</v>
      </c>
    </row>
    <row r="177" spans="1:76" x14ac:dyDescent="0.25">
      <c r="A177" s="1" t="s">
        <v>456</v>
      </c>
      <c r="B177" s="2" t="s">
        <v>457</v>
      </c>
      <c r="C177" s="66" t="s">
        <v>458</v>
      </c>
      <c r="D177" s="67"/>
      <c r="E177" s="2" t="s">
        <v>175</v>
      </c>
      <c r="F177" s="52">
        <v>1</v>
      </c>
      <c r="G177" s="52">
        <v>0</v>
      </c>
      <c r="H177" s="52">
        <f>F177*AO177</f>
        <v>0</v>
      </c>
      <c r="I177" s="52">
        <f>F177*AP177</f>
        <v>0</v>
      </c>
      <c r="J177" s="52">
        <f>F177*G177</f>
        <v>0</v>
      </c>
      <c r="K177" s="53" t="s">
        <v>4</v>
      </c>
      <c r="Z177" s="52">
        <f>IF(AQ177="5",BJ177,0)</f>
        <v>0</v>
      </c>
      <c r="AB177" s="52">
        <f>IF(AQ177="1",BH177,0)</f>
        <v>0</v>
      </c>
      <c r="AC177" s="52">
        <f>IF(AQ177="1",BI177,0)</f>
        <v>0</v>
      </c>
      <c r="AD177" s="52">
        <f>IF(AQ177="7",BH177,0)</f>
        <v>0</v>
      </c>
      <c r="AE177" s="52">
        <f>IF(AQ177="7",BI177,0)</f>
        <v>0</v>
      </c>
      <c r="AF177" s="52">
        <f>IF(AQ177="2",BH177,0)</f>
        <v>0</v>
      </c>
      <c r="AG177" s="52">
        <f>IF(AQ177="2",BI177,0)</f>
        <v>0</v>
      </c>
      <c r="AH177" s="52">
        <f>IF(AQ177="0",BJ177,0)</f>
        <v>0</v>
      </c>
      <c r="AI177" s="34" t="s">
        <v>151</v>
      </c>
      <c r="AJ177" s="52">
        <f>IF(AN177=0,J177,0)</f>
        <v>0</v>
      </c>
      <c r="AK177" s="52">
        <f>IF(AN177=12,J177,0)</f>
        <v>0</v>
      </c>
      <c r="AL177" s="52">
        <f>IF(AN177=21,J177,0)</f>
        <v>0</v>
      </c>
      <c r="AN177" s="52">
        <v>21</v>
      </c>
      <c r="AO177" s="52">
        <f>G177*0</f>
        <v>0</v>
      </c>
      <c r="AP177" s="52">
        <f>G177*(1-0)</f>
        <v>0</v>
      </c>
      <c r="AQ177" s="54" t="s">
        <v>114</v>
      </c>
      <c r="AV177" s="52">
        <f>AW177+AX177</f>
        <v>0</v>
      </c>
      <c r="AW177" s="52">
        <f>F177*AO177</f>
        <v>0</v>
      </c>
      <c r="AX177" s="52">
        <f>F177*AP177</f>
        <v>0</v>
      </c>
      <c r="AY177" s="54" t="s">
        <v>118</v>
      </c>
      <c r="AZ177" s="54" t="s">
        <v>459</v>
      </c>
      <c r="BA177" s="34" t="s">
        <v>460</v>
      </c>
      <c r="BC177" s="52">
        <f>AW177+AX177</f>
        <v>0</v>
      </c>
      <c r="BD177" s="52">
        <f>G177/(100-BE177)*100</f>
        <v>0</v>
      </c>
      <c r="BE177" s="52">
        <v>0</v>
      </c>
      <c r="BF177" s="52">
        <f>177</f>
        <v>177</v>
      </c>
      <c r="BH177" s="52">
        <f>F177*AO177</f>
        <v>0</v>
      </c>
      <c r="BI177" s="52">
        <f>F177*AP177</f>
        <v>0</v>
      </c>
      <c r="BJ177" s="52">
        <f>F177*G177</f>
        <v>0</v>
      </c>
      <c r="BK177" s="52"/>
      <c r="BL177" s="52">
        <v>11</v>
      </c>
      <c r="BW177" s="52">
        <v>21</v>
      </c>
      <c r="BX177" s="3" t="s">
        <v>458</v>
      </c>
    </row>
    <row r="178" spans="1:76" x14ac:dyDescent="0.25">
      <c r="A178" s="48" t="s">
        <v>4</v>
      </c>
      <c r="B178" s="49" t="s">
        <v>182</v>
      </c>
      <c r="C178" s="143" t="s">
        <v>203</v>
      </c>
      <c r="D178" s="144"/>
      <c r="E178" s="50" t="s">
        <v>73</v>
      </c>
      <c r="F178" s="50" t="s">
        <v>73</v>
      </c>
      <c r="G178" s="50" t="s">
        <v>73</v>
      </c>
      <c r="H178" s="28">
        <f>SUM(H179:H185)</f>
        <v>0</v>
      </c>
      <c r="I178" s="28">
        <f>SUM(I179:I185)</f>
        <v>0</v>
      </c>
      <c r="J178" s="28">
        <f>SUM(J179:J185)</f>
        <v>0</v>
      </c>
      <c r="K178" s="51" t="s">
        <v>4</v>
      </c>
      <c r="AI178" s="34" t="s">
        <v>151</v>
      </c>
      <c r="AS178" s="28">
        <f>SUM(AJ179:AJ185)</f>
        <v>0</v>
      </c>
      <c r="AT178" s="28">
        <f>SUM(AK179:AK185)</f>
        <v>0</v>
      </c>
      <c r="AU178" s="28">
        <f>SUM(AL179:AL185)</f>
        <v>0</v>
      </c>
    </row>
    <row r="179" spans="1:76" x14ac:dyDescent="0.25">
      <c r="A179" s="1" t="s">
        <v>461</v>
      </c>
      <c r="B179" s="2" t="s">
        <v>307</v>
      </c>
      <c r="C179" s="66" t="s">
        <v>308</v>
      </c>
      <c r="D179" s="67"/>
      <c r="E179" s="2" t="s">
        <v>117</v>
      </c>
      <c r="F179" s="52">
        <v>110</v>
      </c>
      <c r="G179" s="52">
        <v>0</v>
      </c>
      <c r="H179" s="52">
        <f t="shared" ref="H179:H185" si="112">F179*AO179</f>
        <v>0</v>
      </c>
      <c r="I179" s="52">
        <f t="shared" ref="I179:I185" si="113">F179*AP179</f>
        <v>0</v>
      </c>
      <c r="J179" s="52">
        <f t="shared" ref="J179:J185" si="114">F179*G179</f>
        <v>0</v>
      </c>
      <c r="K179" s="53" t="s">
        <v>125</v>
      </c>
      <c r="Z179" s="52">
        <f t="shared" ref="Z179:Z185" si="115">IF(AQ179="5",BJ179,0)</f>
        <v>0</v>
      </c>
      <c r="AB179" s="52">
        <f t="shared" ref="AB179:AB185" si="116">IF(AQ179="1",BH179,0)</f>
        <v>0</v>
      </c>
      <c r="AC179" s="52">
        <f t="shared" ref="AC179:AC185" si="117">IF(AQ179="1",BI179,0)</f>
        <v>0</v>
      </c>
      <c r="AD179" s="52">
        <f t="shared" ref="AD179:AD185" si="118">IF(AQ179="7",BH179,0)</f>
        <v>0</v>
      </c>
      <c r="AE179" s="52">
        <f t="shared" ref="AE179:AE185" si="119">IF(AQ179="7",BI179,0)</f>
        <v>0</v>
      </c>
      <c r="AF179" s="52">
        <f t="shared" ref="AF179:AF185" si="120">IF(AQ179="2",BH179,0)</f>
        <v>0</v>
      </c>
      <c r="AG179" s="52">
        <f t="shared" ref="AG179:AG185" si="121">IF(AQ179="2",BI179,0)</f>
        <v>0</v>
      </c>
      <c r="AH179" s="52">
        <f t="shared" ref="AH179:AH185" si="122">IF(AQ179="0",BJ179,0)</f>
        <v>0</v>
      </c>
      <c r="AI179" s="34" t="s">
        <v>151</v>
      </c>
      <c r="AJ179" s="52">
        <f t="shared" ref="AJ179:AJ185" si="123">IF(AN179=0,J179,0)</f>
        <v>0</v>
      </c>
      <c r="AK179" s="52">
        <f t="shared" ref="AK179:AK185" si="124">IF(AN179=12,J179,0)</f>
        <v>0</v>
      </c>
      <c r="AL179" s="52">
        <f t="shared" ref="AL179:AL185" si="125">IF(AN179=21,J179,0)</f>
        <v>0</v>
      </c>
      <c r="AN179" s="52">
        <v>21</v>
      </c>
      <c r="AO179" s="52">
        <f>G179*0.005671078</f>
        <v>0</v>
      </c>
      <c r="AP179" s="52">
        <f>G179*(1-0.005671078)</f>
        <v>0</v>
      </c>
      <c r="AQ179" s="54" t="s">
        <v>114</v>
      </c>
      <c r="AV179" s="52">
        <f t="shared" ref="AV179:AV185" si="126">AW179+AX179</f>
        <v>0</v>
      </c>
      <c r="AW179" s="52">
        <f t="shared" ref="AW179:AW185" si="127">F179*AO179</f>
        <v>0</v>
      </c>
      <c r="AX179" s="52">
        <f t="shared" ref="AX179:AX185" si="128">F179*AP179</f>
        <v>0</v>
      </c>
      <c r="AY179" s="54" t="s">
        <v>207</v>
      </c>
      <c r="AZ179" s="54" t="s">
        <v>459</v>
      </c>
      <c r="BA179" s="34" t="s">
        <v>460</v>
      </c>
      <c r="BC179" s="52">
        <f t="shared" ref="BC179:BC185" si="129">AW179+AX179</f>
        <v>0</v>
      </c>
      <c r="BD179" s="52">
        <f t="shared" ref="BD179:BD185" si="130">G179/(100-BE179)*100</f>
        <v>0</v>
      </c>
      <c r="BE179" s="52">
        <v>0</v>
      </c>
      <c r="BF179" s="52">
        <f>179</f>
        <v>179</v>
      </c>
      <c r="BH179" s="52">
        <f t="shared" ref="BH179:BH185" si="131">F179*AO179</f>
        <v>0</v>
      </c>
      <c r="BI179" s="52">
        <f t="shared" ref="BI179:BI185" si="132">F179*AP179</f>
        <v>0</v>
      </c>
      <c r="BJ179" s="52">
        <f t="shared" ref="BJ179:BJ185" si="133">F179*G179</f>
        <v>0</v>
      </c>
      <c r="BK179" s="52"/>
      <c r="BL179" s="52">
        <v>18</v>
      </c>
      <c r="BW179" s="52">
        <v>21</v>
      </c>
      <c r="BX179" s="3" t="s">
        <v>308</v>
      </c>
    </row>
    <row r="180" spans="1:76" x14ac:dyDescent="0.25">
      <c r="A180" s="1" t="s">
        <v>462</v>
      </c>
      <c r="B180" s="2" t="s">
        <v>312</v>
      </c>
      <c r="C180" s="66" t="s">
        <v>313</v>
      </c>
      <c r="D180" s="67"/>
      <c r="E180" s="2" t="s">
        <v>117</v>
      </c>
      <c r="F180" s="52">
        <v>110</v>
      </c>
      <c r="G180" s="52">
        <v>0</v>
      </c>
      <c r="H180" s="52">
        <f t="shared" si="112"/>
        <v>0</v>
      </c>
      <c r="I180" s="52">
        <f t="shared" si="113"/>
        <v>0</v>
      </c>
      <c r="J180" s="52">
        <f t="shared" si="114"/>
        <v>0</v>
      </c>
      <c r="K180" s="53" t="s">
        <v>125</v>
      </c>
      <c r="Z180" s="52">
        <f t="shared" si="115"/>
        <v>0</v>
      </c>
      <c r="AB180" s="52">
        <f t="shared" si="116"/>
        <v>0</v>
      </c>
      <c r="AC180" s="52">
        <f t="shared" si="117"/>
        <v>0</v>
      </c>
      <c r="AD180" s="52">
        <f t="shared" si="118"/>
        <v>0</v>
      </c>
      <c r="AE180" s="52">
        <f t="shared" si="119"/>
        <v>0</v>
      </c>
      <c r="AF180" s="52">
        <f t="shared" si="120"/>
        <v>0</v>
      </c>
      <c r="AG180" s="52">
        <f t="shared" si="121"/>
        <v>0</v>
      </c>
      <c r="AH180" s="52">
        <f t="shared" si="122"/>
        <v>0</v>
      </c>
      <c r="AI180" s="34" t="s">
        <v>151</v>
      </c>
      <c r="AJ180" s="52">
        <f t="shared" si="123"/>
        <v>0</v>
      </c>
      <c r="AK180" s="52">
        <f t="shared" si="124"/>
        <v>0</v>
      </c>
      <c r="AL180" s="52">
        <f t="shared" si="125"/>
        <v>0</v>
      </c>
      <c r="AN180" s="52">
        <v>21</v>
      </c>
      <c r="AO180" s="52">
        <f>G180*0</f>
        <v>0</v>
      </c>
      <c r="AP180" s="52">
        <f>G180*(1-0)</f>
        <v>0</v>
      </c>
      <c r="AQ180" s="54" t="s">
        <v>114</v>
      </c>
      <c r="AV180" s="52">
        <f t="shared" si="126"/>
        <v>0</v>
      </c>
      <c r="AW180" s="52">
        <f t="shared" si="127"/>
        <v>0</v>
      </c>
      <c r="AX180" s="52">
        <f t="shared" si="128"/>
        <v>0</v>
      </c>
      <c r="AY180" s="54" t="s">
        <v>207</v>
      </c>
      <c r="AZ180" s="54" t="s">
        <v>459</v>
      </c>
      <c r="BA180" s="34" t="s">
        <v>460</v>
      </c>
      <c r="BC180" s="52">
        <f t="shared" si="129"/>
        <v>0</v>
      </c>
      <c r="BD180" s="52">
        <f t="shared" si="130"/>
        <v>0</v>
      </c>
      <c r="BE180" s="52">
        <v>0</v>
      </c>
      <c r="BF180" s="52">
        <f>180</f>
        <v>180</v>
      </c>
      <c r="BH180" s="52">
        <f t="shared" si="131"/>
        <v>0</v>
      </c>
      <c r="BI180" s="52">
        <f t="shared" si="132"/>
        <v>0</v>
      </c>
      <c r="BJ180" s="52">
        <f t="shared" si="133"/>
        <v>0</v>
      </c>
      <c r="BK180" s="52"/>
      <c r="BL180" s="52">
        <v>18</v>
      </c>
      <c r="BW180" s="52">
        <v>21</v>
      </c>
      <c r="BX180" s="3" t="s">
        <v>313</v>
      </c>
    </row>
    <row r="181" spans="1:76" x14ac:dyDescent="0.25">
      <c r="A181" s="1" t="s">
        <v>463</v>
      </c>
      <c r="B181" s="2" t="s">
        <v>464</v>
      </c>
      <c r="C181" s="66" t="s">
        <v>465</v>
      </c>
      <c r="D181" s="67"/>
      <c r="E181" s="2" t="s">
        <v>249</v>
      </c>
      <c r="F181" s="52">
        <v>1.5E-3</v>
      </c>
      <c r="G181" s="52">
        <v>0</v>
      </c>
      <c r="H181" s="52">
        <f t="shared" si="112"/>
        <v>0</v>
      </c>
      <c r="I181" s="52">
        <f t="shared" si="113"/>
        <v>0</v>
      </c>
      <c r="J181" s="52">
        <f t="shared" si="114"/>
        <v>0</v>
      </c>
      <c r="K181" s="53" t="s">
        <v>125</v>
      </c>
      <c r="Z181" s="52">
        <f t="shared" si="115"/>
        <v>0</v>
      </c>
      <c r="AB181" s="52">
        <f t="shared" si="116"/>
        <v>0</v>
      </c>
      <c r="AC181" s="52">
        <f t="shared" si="117"/>
        <v>0</v>
      </c>
      <c r="AD181" s="52">
        <f t="shared" si="118"/>
        <v>0</v>
      </c>
      <c r="AE181" s="52">
        <f t="shared" si="119"/>
        <v>0</v>
      </c>
      <c r="AF181" s="52">
        <f t="shared" si="120"/>
        <v>0</v>
      </c>
      <c r="AG181" s="52">
        <f t="shared" si="121"/>
        <v>0</v>
      </c>
      <c r="AH181" s="52">
        <f t="shared" si="122"/>
        <v>0</v>
      </c>
      <c r="AI181" s="34" t="s">
        <v>151</v>
      </c>
      <c r="AJ181" s="52">
        <f t="shared" si="123"/>
        <v>0</v>
      </c>
      <c r="AK181" s="52">
        <f t="shared" si="124"/>
        <v>0</v>
      </c>
      <c r="AL181" s="52">
        <f t="shared" si="125"/>
        <v>0</v>
      </c>
      <c r="AN181" s="52">
        <v>21</v>
      </c>
      <c r="AO181" s="52">
        <f>G181*0</f>
        <v>0</v>
      </c>
      <c r="AP181" s="52">
        <f>G181*(1-0)</f>
        <v>0</v>
      </c>
      <c r="AQ181" s="54" t="s">
        <v>114</v>
      </c>
      <c r="AV181" s="52">
        <f t="shared" si="126"/>
        <v>0</v>
      </c>
      <c r="AW181" s="52">
        <f t="shared" si="127"/>
        <v>0</v>
      </c>
      <c r="AX181" s="52">
        <f t="shared" si="128"/>
        <v>0</v>
      </c>
      <c r="AY181" s="54" t="s">
        <v>207</v>
      </c>
      <c r="AZ181" s="54" t="s">
        <v>459</v>
      </c>
      <c r="BA181" s="34" t="s">
        <v>460</v>
      </c>
      <c r="BC181" s="52">
        <f t="shared" si="129"/>
        <v>0</v>
      </c>
      <c r="BD181" s="52">
        <f t="shared" si="130"/>
        <v>0</v>
      </c>
      <c r="BE181" s="52">
        <v>0</v>
      </c>
      <c r="BF181" s="52">
        <f>181</f>
        <v>181</v>
      </c>
      <c r="BH181" s="52">
        <f t="shared" si="131"/>
        <v>0</v>
      </c>
      <c r="BI181" s="52">
        <f t="shared" si="132"/>
        <v>0</v>
      </c>
      <c r="BJ181" s="52">
        <f t="shared" si="133"/>
        <v>0</v>
      </c>
      <c r="BK181" s="52"/>
      <c r="BL181" s="52">
        <v>18</v>
      </c>
      <c r="BW181" s="52">
        <v>21</v>
      </c>
      <c r="BX181" s="3" t="s">
        <v>465</v>
      </c>
    </row>
    <row r="182" spans="1:76" x14ac:dyDescent="0.25">
      <c r="A182" s="1" t="s">
        <v>466</v>
      </c>
      <c r="B182" s="2" t="s">
        <v>315</v>
      </c>
      <c r="C182" s="66" t="s">
        <v>316</v>
      </c>
      <c r="D182" s="67"/>
      <c r="E182" s="2" t="s">
        <v>138</v>
      </c>
      <c r="F182" s="52">
        <v>770</v>
      </c>
      <c r="G182" s="52">
        <v>0</v>
      </c>
      <c r="H182" s="52">
        <f t="shared" si="112"/>
        <v>0</v>
      </c>
      <c r="I182" s="52">
        <f t="shared" si="113"/>
        <v>0</v>
      </c>
      <c r="J182" s="52">
        <f t="shared" si="114"/>
        <v>0</v>
      </c>
      <c r="K182" s="53" t="s">
        <v>125</v>
      </c>
      <c r="Z182" s="52">
        <f t="shared" si="115"/>
        <v>0</v>
      </c>
      <c r="AB182" s="52">
        <f t="shared" si="116"/>
        <v>0</v>
      </c>
      <c r="AC182" s="52">
        <f t="shared" si="117"/>
        <v>0</v>
      </c>
      <c r="AD182" s="52">
        <f t="shared" si="118"/>
        <v>0</v>
      </c>
      <c r="AE182" s="52">
        <f t="shared" si="119"/>
        <v>0</v>
      </c>
      <c r="AF182" s="52">
        <f t="shared" si="120"/>
        <v>0</v>
      </c>
      <c r="AG182" s="52">
        <f t="shared" si="121"/>
        <v>0</v>
      </c>
      <c r="AH182" s="52">
        <f t="shared" si="122"/>
        <v>0</v>
      </c>
      <c r="AI182" s="34" t="s">
        <v>151</v>
      </c>
      <c r="AJ182" s="52">
        <f t="shared" si="123"/>
        <v>0</v>
      </c>
      <c r="AK182" s="52">
        <f t="shared" si="124"/>
        <v>0</v>
      </c>
      <c r="AL182" s="52">
        <f t="shared" si="125"/>
        <v>0</v>
      </c>
      <c r="AN182" s="52">
        <v>21</v>
      </c>
      <c r="AO182" s="52">
        <f>G182*0</f>
        <v>0</v>
      </c>
      <c r="AP182" s="52">
        <f>G182*(1-0)</f>
        <v>0</v>
      </c>
      <c r="AQ182" s="54" t="s">
        <v>114</v>
      </c>
      <c r="AV182" s="52">
        <f t="shared" si="126"/>
        <v>0</v>
      </c>
      <c r="AW182" s="52">
        <f t="shared" si="127"/>
        <v>0</v>
      </c>
      <c r="AX182" s="52">
        <f t="shared" si="128"/>
        <v>0</v>
      </c>
      <c r="AY182" s="54" t="s">
        <v>207</v>
      </c>
      <c r="AZ182" s="54" t="s">
        <v>459</v>
      </c>
      <c r="BA182" s="34" t="s">
        <v>460</v>
      </c>
      <c r="BC182" s="52">
        <f t="shared" si="129"/>
        <v>0</v>
      </c>
      <c r="BD182" s="52">
        <f t="shared" si="130"/>
        <v>0</v>
      </c>
      <c r="BE182" s="52">
        <v>0</v>
      </c>
      <c r="BF182" s="52">
        <f>182</f>
        <v>182</v>
      </c>
      <c r="BH182" s="52">
        <f t="shared" si="131"/>
        <v>0</v>
      </c>
      <c r="BI182" s="52">
        <f t="shared" si="132"/>
        <v>0</v>
      </c>
      <c r="BJ182" s="52">
        <f t="shared" si="133"/>
        <v>0</v>
      </c>
      <c r="BK182" s="52"/>
      <c r="BL182" s="52">
        <v>18</v>
      </c>
      <c r="BW182" s="52">
        <v>21</v>
      </c>
      <c r="BX182" s="3" t="s">
        <v>316</v>
      </c>
    </row>
    <row r="183" spans="1:76" x14ac:dyDescent="0.25">
      <c r="A183" s="1" t="s">
        <v>193</v>
      </c>
      <c r="B183" s="2" t="s">
        <v>467</v>
      </c>
      <c r="C183" s="66" t="s">
        <v>468</v>
      </c>
      <c r="D183" s="67"/>
      <c r="E183" s="2" t="s">
        <v>138</v>
      </c>
      <c r="F183" s="52">
        <v>770</v>
      </c>
      <c r="G183" s="52">
        <v>0</v>
      </c>
      <c r="H183" s="52">
        <f t="shared" si="112"/>
        <v>0</v>
      </c>
      <c r="I183" s="52">
        <f t="shared" si="113"/>
        <v>0</v>
      </c>
      <c r="J183" s="52">
        <f t="shared" si="114"/>
        <v>0</v>
      </c>
      <c r="K183" s="53" t="s">
        <v>125</v>
      </c>
      <c r="Z183" s="52">
        <f t="shared" si="115"/>
        <v>0</v>
      </c>
      <c r="AB183" s="52">
        <f t="shared" si="116"/>
        <v>0</v>
      </c>
      <c r="AC183" s="52">
        <f t="shared" si="117"/>
        <v>0</v>
      </c>
      <c r="AD183" s="52">
        <f t="shared" si="118"/>
        <v>0</v>
      </c>
      <c r="AE183" s="52">
        <f t="shared" si="119"/>
        <v>0</v>
      </c>
      <c r="AF183" s="52">
        <f t="shared" si="120"/>
        <v>0</v>
      </c>
      <c r="AG183" s="52">
        <f t="shared" si="121"/>
        <v>0</v>
      </c>
      <c r="AH183" s="52">
        <f t="shared" si="122"/>
        <v>0</v>
      </c>
      <c r="AI183" s="34" t="s">
        <v>151</v>
      </c>
      <c r="AJ183" s="52">
        <f t="shared" si="123"/>
        <v>0</v>
      </c>
      <c r="AK183" s="52">
        <f t="shared" si="124"/>
        <v>0</v>
      </c>
      <c r="AL183" s="52">
        <f t="shared" si="125"/>
        <v>0</v>
      </c>
      <c r="AN183" s="52">
        <v>21</v>
      </c>
      <c r="AO183" s="52">
        <f>G183*0.009459459</f>
        <v>0</v>
      </c>
      <c r="AP183" s="52">
        <f>G183*(1-0.009459459)</f>
        <v>0</v>
      </c>
      <c r="AQ183" s="54" t="s">
        <v>114</v>
      </c>
      <c r="AV183" s="52">
        <f t="shared" si="126"/>
        <v>0</v>
      </c>
      <c r="AW183" s="52">
        <f t="shared" si="127"/>
        <v>0</v>
      </c>
      <c r="AX183" s="52">
        <f t="shared" si="128"/>
        <v>0</v>
      </c>
      <c r="AY183" s="54" t="s">
        <v>207</v>
      </c>
      <c r="AZ183" s="54" t="s">
        <v>459</v>
      </c>
      <c r="BA183" s="34" t="s">
        <v>460</v>
      </c>
      <c r="BC183" s="52">
        <f t="shared" si="129"/>
        <v>0</v>
      </c>
      <c r="BD183" s="52">
        <f t="shared" si="130"/>
        <v>0</v>
      </c>
      <c r="BE183" s="52">
        <v>0</v>
      </c>
      <c r="BF183" s="52">
        <f>183</f>
        <v>183</v>
      </c>
      <c r="BH183" s="52">
        <f t="shared" si="131"/>
        <v>0</v>
      </c>
      <c r="BI183" s="52">
        <f t="shared" si="132"/>
        <v>0</v>
      </c>
      <c r="BJ183" s="52">
        <f t="shared" si="133"/>
        <v>0</v>
      </c>
      <c r="BK183" s="52"/>
      <c r="BL183" s="52">
        <v>18</v>
      </c>
      <c r="BW183" s="52">
        <v>21</v>
      </c>
      <c r="BX183" s="3" t="s">
        <v>468</v>
      </c>
    </row>
    <row r="184" spans="1:76" x14ac:dyDescent="0.25">
      <c r="A184" s="1" t="s">
        <v>469</v>
      </c>
      <c r="B184" s="2" t="s">
        <v>321</v>
      </c>
      <c r="C184" s="66" t="s">
        <v>470</v>
      </c>
      <c r="D184" s="67"/>
      <c r="E184" s="2" t="s">
        <v>117</v>
      </c>
      <c r="F184" s="52">
        <v>110</v>
      </c>
      <c r="G184" s="52">
        <v>0</v>
      </c>
      <c r="H184" s="52">
        <f t="shared" si="112"/>
        <v>0</v>
      </c>
      <c r="I184" s="52">
        <f t="shared" si="113"/>
        <v>0</v>
      </c>
      <c r="J184" s="52">
        <f t="shared" si="114"/>
        <v>0</v>
      </c>
      <c r="K184" s="53" t="s">
        <v>125</v>
      </c>
      <c r="Z184" s="52">
        <f t="shared" si="115"/>
        <v>0</v>
      </c>
      <c r="AB184" s="52">
        <f t="shared" si="116"/>
        <v>0</v>
      </c>
      <c r="AC184" s="52">
        <f t="shared" si="117"/>
        <v>0</v>
      </c>
      <c r="AD184" s="52">
        <f t="shared" si="118"/>
        <v>0</v>
      </c>
      <c r="AE184" s="52">
        <f t="shared" si="119"/>
        <v>0</v>
      </c>
      <c r="AF184" s="52">
        <f t="shared" si="120"/>
        <v>0</v>
      </c>
      <c r="AG184" s="52">
        <f t="shared" si="121"/>
        <v>0</v>
      </c>
      <c r="AH184" s="52">
        <f t="shared" si="122"/>
        <v>0</v>
      </c>
      <c r="AI184" s="34" t="s">
        <v>151</v>
      </c>
      <c r="AJ184" s="52">
        <f t="shared" si="123"/>
        <v>0</v>
      </c>
      <c r="AK184" s="52">
        <f t="shared" si="124"/>
        <v>0</v>
      </c>
      <c r="AL184" s="52">
        <f t="shared" si="125"/>
        <v>0</v>
      </c>
      <c r="AN184" s="52">
        <v>21</v>
      </c>
      <c r="AO184" s="52">
        <f>G184*0</f>
        <v>0</v>
      </c>
      <c r="AP184" s="52">
        <f>G184*(1-0)</f>
        <v>0</v>
      </c>
      <c r="AQ184" s="54" t="s">
        <v>114</v>
      </c>
      <c r="AV184" s="52">
        <f t="shared" si="126"/>
        <v>0</v>
      </c>
      <c r="AW184" s="52">
        <f t="shared" si="127"/>
        <v>0</v>
      </c>
      <c r="AX184" s="52">
        <f t="shared" si="128"/>
        <v>0</v>
      </c>
      <c r="AY184" s="54" t="s">
        <v>207</v>
      </c>
      <c r="AZ184" s="54" t="s">
        <v>459</v>
      </c>
      <c r="BA184" s="34" t="s">
        <v>460</v>
      </c>
      <c r="BC184" s="52">
        <f t="shared" si="129"/>
        <v>0</v>
      </c>
      <c r="BD184" s="52">
        <f t="shared" si="130"/>
        <v>0</v>
      </c>
      <c r="BE184" s="52">
        <v>0</v>
      </c>
      <c r="BF184" s="52">
        <f>184</f>
        <v>184</v>
      </c>
      <c r="BH184" s="52">
        <f t="shared" si="131"/>
        <v>0</v>
      </c>
      <c r="BI184" s="52">
        <f t="shared" si="132"/>
        <v>0</v>
      </c>
      <c r="BJ184" s="52">
        <f t="shared" si="133"/>
        <v>0</v>
      </c>
      <c r="BK184" s="52"/>
      <c r="BL184" s="52">
        <v>18</v>
      </c>
      <c r="BW184" s="52">
        <v>21</v>
      </c>
      <c r="BX184" s="3" t="s">
        <v>470</v>
      </c>
    </row>
    <row r="185" spans="1:76" x14ac:dyDescent="0.25">
      <c r="A185" s="1" t="s">
        <v>471</v>
      </c>
      <c r="B185" s="2" t="s">
        <v>242</v>
      </c>
      <c r="C185" s="66" t="s">
        <v>327</v>
      </c>
      <c r="D185" s="67"/>
      <c r="E185" s="2" t="s">
        <v>129</v>
      </c>
      <c r="F185" s="52">
        <v>4.4000000000000004</v>
      </c>
      <c r="G185" s="52">
        <v>0</v>
      </c>
      <c r="H185" s="52">
        <f t="shared" si="112"/>
        <v>0</v>
      </c>
      <c r="I185" s="52">
        <f t="shared" si="113"/>
        <v>0</v>
      </c>
      <c r="J185" s="52">
        <f t="shared" si="114"/>
        <v>0</v>
      </c>
      <c r="K185" s="53" t="s">
        <v>130</v>
      </c>
      <c r="Z185" s="52">
        <f t="shared" si="115"/>
        <v>0</v>
      </c>
      <c r="AB185" s="52">
        <f t="shared" si="116"/>
        <v>0</v>
      </c>
      <c r="AC185" s="52">
        <f t="shared" si="117"/>
        <v>0</v>
      </c>
      <c r="AD185" s="52">
        <f t="shared" si="118"/>
        <v>0</v>
      </c>
      <c r="AE185" s="52">
        <f t="shared" si="119"/>
        <v>0</v>
      </c>
      <c r="AF185" s="52">
        <f t="shared" si="120"/>
        <v>0</v>
      </c>
      <c r="AG185" s="52">
        <f t="shared" si="121"/>
        <v>0</v>
      </c>
      <c r="AH185" s="52">
        <f t="shared" si="122"/>
        <v>0</v>
      </c>
      <c r="AI185" s="34" t="s">
        <v>151</v>
      </c>
      <c r="AJ185" s="52">
        <f t="shared" si="123"/>
        <v>0</v>
      </c>
      <c r="AK185" s="52">
        <f t="shared" si="124"/>
        <v>0</v>
      </c>
      <c r="AL185" s="52">
        <f t="shared" si="125"/>
        <v>0</v>
      </c>
      <c r="AN185" s="52">
        <v>21</v>
      </c>
      <c r="AO185" s="52">
        <f>G185*0</f>
        <v>0</v>
      </c>
      <c r="AP185" s="52">
        <f>G185*(1-0)</f>
        <v>0</v>
      </c>
      <c r="AQ185" s="54" t="s">
        <v>114</v>
      </c>
      <c r="AV185" s="52">
        <f t="shared" si="126"/>
        <v>0</v>
      </c>
      <c r="AW185" s="52">
        <f t="shared" si="127"/>
        <v>0</v>
      </c>
      <c r="AX185" s="52">
        <f t="shared" si="128"/>
        <v>0</v>
      </c>
      <c r="AY185" s="54" t="s">
        <v>207</v>
      </c>
      <c r="AZ185" s="54" t="s">
        <v>459</v>
      </c>
      <c r="BA185" s="34" t="s">
        <v>460</v>
      </c>
      <c r="BC185" s="52">
        <f t="shared" si="129"/>
        <v>0</v>
      </c>
      <c r="BD185" s="52">
        <f t="shared" si="130"/>
        <v>0</v>
      </c>
      <c r="BE185" s="52">
        <v>0</v>
      </c>
      <c r="BF185" s="52">
        <f>185</f>
        <v>185</v>
      </c>
      <c r="BH185" s="52">
        <f t="shared" si="131"/>
        <v>0</v>
      </c>
      <c r="BI185" s="52">
        <f t="shared" si="132"/>
        <v>0</v>
      </c>
      <c r="BJ185" s="52">
        <f t="shared" si="133"/>
        <v>0</v>
      </c>
      <c r="BK185" s="52"/>
      <c r="BL185" s="52">
        <v>18</v>
      </c>
      <c r="BW185" s="52">
        <v>21</v>
      </c>
      <c r="BX185" s="3" t="s">
        <v>327</v>
      </c>
    </row>
    <row r="186" spans="1:76" x14ac:dyDescent="0.25">
      <c r="A186" s="48" t="s">
        <v>4</v>
      </c>
      <c r="B186" s="49" t="s">
        <v>472</v>
      </c>
      <c r="C186" s="143" t="s">
        <v>473</v>
      </c>
      <c r="D186" s="144"/>
      <c r="E186" s="50" t="s">
        <v>73</v>
      </c>
      <c r="F186" s="50" t="s">
        <v>73</v>
      </c>
      <c r="G186" s="50" t="s">
        <v>73</v>
      </c>
      <c r="H186" s="28">
        <f>SUM(H187:H187)</f>
        <v>0</v>
      </c>
      <c r="I186" s="28">
        <f>SUM(I187:I187)</f>
        <v>0</v>
      </c>
      <c r="J186" s="28">
        <f>SUM(J187:J187)</f>
        <v>0</v>
      </c>
      <c r="K186" s="51" t="s">
        <v>4</v>
      </c>
      <c r="AI186" s="34" t="s">
        <v>151</v>
      </c>
      <c r="AS186" s="28">
        <f>SUM(AJ187:AJ187)</f>
        <v>0</v>
      </c>
      <c r="AT186" s="28">
        <f>SUM(AK187:AK187)</f>
        <v>0</v>
      </c>
      <c r="AU186" s="28">
        <f>SUM(AL187:AL187)</f>
        <v>0</v>
      </c>
    </row>
    <row r="187" spans="1:76" ht="25.5" x14ac:dyDescent="0.25">
      <c r="A187" s="1" t="s">
        <v>474</v>
      </c>
      <c r="B187" s="2" t="s">
        <v>475</v>
      </c>
      <c r="C187" s="66" t="s">
        <v>476</v>
      </c>
      <c r="D187" s="67"/>
      <c r="E187" s="2" t="s">
        <v>477</v>
      </c>
      <c r="F187" s="52">
        <v>137</v>
      </c>
      <c r="G187" s="52">
        <v>0</v>
      </c>
      <c r="H187" s="52">
        <f>F187*AO187</f>
        <v>0</v>
      </c>
      <c r="I187" s="52">
        <f>F187*AP187</f>
        <v>0</v>
      </c>
      <c r="J187" s="52">
        <f>F187*G187</f>
        <v>0</v>
      </c>
      <c r="K187" s="53" t="s">
        <v>4</v>
      </c>
      <c r="Z187" s="52">
        <f>IF(AQ187="5",BJ187,0)</f>
        <v>0</v>
      </c>
      <c r="AB187" s="52">
        <f>IF(AQ187="1",BH187,0)</f>
        <v>0</v>
      </c>
      <c r="AC187" s="52">
        <f>IF(AQ187="1",BI187,0)</f>
        <v>0</v>
      </c>
      <c r="AD187" s="52">
        <f>IF(AQ187="7",BH187,0)</f>
        <v>0</v>
      </c>
      <c r="AE187" s="52">
        <f>IF(AQ187="7",BI187,0)</f>
        <v>0</v>
      </c>
      <c r="AF187" s="52">
        <f>IF(AQ187="2",BH187,0)</f>
        <v>0</v>
      </c>
      <c r="AG187" s="52">
        <f>IF(AQ187="2",BI187,0)</f>
        <v>0</v>
      </c>
      <c r="AH187" s="52">
        <f>IF(AQ187="0",BJ187,0)</f>
        <v>0</v>
      </c>
      <c r="AI187" s="34" t="s">
        <v>151</v>
      </c>
      <c r="AJ187" s="52">
        <f>IF(AN187=0,J187,0)</f>
        <v>0</v>
      </c>
      <c r="AK187" s="52">
        <f>IF(AN187=12,J187,0)</f>
        <v>0</v>
      </c>
      <c r="AL187" s="52">
        <f>IF(AN187=21,J187,0)</f>
        <v>0</v>
      </c>
      <c r="AN187" s="52">
        <v>21</v>
      </c>
      <c r="AO187" s="52">
        <f>G187*0</f>
        <v>0</v>
      </c>
      <c r="AP187" s="52">
        <f>G187*(1-0)</f>
        <v>0</v>
      </c>
      <c r="AQ187" s="54" t="s">
        <v>114</v>
      </c>
      <c r="AV187" s="52">
        <f>AW187+AX187</f>
        <v>0</v>
      </c>
      <c r="AW187" s="52">
        <f>F187*AO187</f>
        <v>0</v>
      </c>
      <c r="AX187" s="52">
        <f>F187*AP187</f>
        <v>0</v>
      </c>
      <c r="AY187" s="54" t="s">
        <v>478</v>
      </c>
      <c r="AZ187" s="54" t="s">
        <v>479</v>
      </c>
      <c r="BA187" s="34" t="s">
        <v>460</v>
      </c>
      <c r="BC187" s="52">
        <f>AW187+AX187</f>
        <v>0</v>
      </c>
      <c r="BD187" s="52">
        <f>G187/(100-BE187)*100</f>
        <v>0</v>
      </c>
      <c r="BE187" s="52">
        <v>0</v>
      </c>
      <c r="BF187" s="52">
        <f>187</f>
        <v>187</v>
      </c>
      <c r="BH187" s="52">
        <f>F187*AO187</f>
        <v>0</v>
      </c>
      <c r="BI187" s="52">
        <f>F187*AP187</f>
        <v>0</v>
      </c>
      <c r="BJ187" s="52">
        <f>F187*G187</f>
        <v>0</v>
      </c>
      <c r="BK187" s="52"/>
      <c r="BL187" s="52"/>
      <c r="BW187" s="52">
        <v>21</v>
      </c>
      <c r="BX187" s="3" t="s">
        <v>476</v>
      </c>
    </row>
    <row r="188" spans="1:76" ht="27" customHeight="1" x14ac:dyDescent="0.25">
      <c r="A188" s="55"/>
      <c r="B188" s="56" t="s">
        <v>57</v>
      </c>
      <c r="C188" s="138" t="s">
        <v>480</v>
      </c>
      <c r="D188" s="139"/>
      <c r="E188" s="139"/>
      <c r="F188" s="139"/>
      <c r="G188" s="139"/>
      <c r="H188" s="139"/>
      <c r="I188" s="139"/>
      <c r="J188" s="139"/>
      <c r="K188" s="140"/>
    </row>
    <row r="189" spans="1:76" x14ac:dyDescent="0.25">
      <c r="A189" s="48" t="s">
        <v>4</v>
      </c>
      <c r="B189" s="49" t="s">
        <v>244</v>
      </c>
      <c r="C189" s="143" t="s">
        <v>245</v>
      </c>
      <c r="D189" s="144"/>
      <c r="E189" s="50" t="s">
        <v>73</v>
      </c>
      <c r="F189" s="50" t="s">
        <v>73</v>
      </c>
      <c r="G189" s="50" t="s">
        <v>73</v>
      </c>
      <c r="H189" s="28">
        <f>SUM(H190:H190)</f>
        <v>0</v>
      </c>
      <c r="I189" s="28">
        <f>SUM(I190:I190)</f>
        <v>0</v>
      </c>
      <c r="J189" s="28">
        <f>SUM(J190:J190)</f>
        <v>0</v>
      </c>
      <c r="K189" s="51" t="s">
        <v>4</v>
      </c>
      <c r="AI189" s="34" t="s">
        <v>151</v>
      </c>
      <c r="AS189" s="28">
        <f>SUM(AJ190:AJ190)</f>
        <v>0</v>
      </c>
      <c r="AT189" s="28">
        <f>SUM(AK190:AK190)</f>
        <v>0</v>
      </c>
      <c r="AU189" s="28">
        <f>SUM(AL190:AL190)</f>
        <v>0</v>
      </c>
    </row>
    <row r="190" spans="1:76" x14ac:dyDescent="0.25">
      <c r="A190" s="1" t="s">
        <v>481</v>
      </c>
      <c r="B190" s="2" t="s">
        <v>247</v>
      </c>
      <c r="C190" s="66" t="s">
        <v>248</v>
      </c>
      <c r="D190" s="67"/>
      <c r="E190" s="2" t="s">
        <v>249</v>
      </c>
      <c r="F190" s="52">
        <v>5.6</v>
      </c>
      <c r="G190" s="52">
        <v>0</v>
      </c>
      <c r="H190" s="52">
        <f>F190*AO190</f>
        <v>0</v>
      </c>
      <c r="I190" s="52">
        <f>F190*AP190</f>
        <v>0</v>
      </c>
      <c r="J190" s="52">
        <f>F190*G190</f>
        <v>0</v>
      </c>
      <c r="K190" s="53" t="s">
        <v>125</v>
      </c>
      <c r="Z190" s="52">
        <f>IF(AQ190="5",BJ190,0)</f>
        <v>0</v>
      </c>
      <c r="AB190" s="52">
        <f>IF(AQ190="1",BH190,0)</f>
        <v>0</v>
      </c>
      <c r="AC190" s="52">
        <f>IF(AQ190="1",BI190,0)</f>
        <v>0</v>
      </c>
      <c r="AD190" s="52">
        <f>IF(AQ190="7",BH190,0)</f>
        <v>0</v>
      </c>
      <c r="AE190" s="52">
        <f>IF(AQ190="7",BI190,0)</f>
        <v>0</v>
      </c>
      <c r="AF190" s="52">
        <f>IF(AQ190="2",BH190,0)</f>
        <v>0</v>
      </c>
      <c r="AG190" s="52">
        <f>IF(AQ190="2",BI190,0)</f>
        <v>0</v>
      </c>
      <c r="AH190" s="52">
        <f>IF(AQ190="0",BJ190,0)</f>
        <v>0</v>
      </c>
      <c r="AI190" s="34" t="s">
        <v>151</v>
      </c>
      <c r="AJ190" s="52">
        <f>IF(AN190=0,J190,0)</f>
        <v>0</v>
      </c>
      <c r="AK190" s="52">
        <f>IF(AN190=12,J190,0)</f>
        <v>0</v>
      </c>
      <c r="AL190" s="52">
        <f>IF(AN190=21,J190,0)</f>
        <v>0</v>
      </c>
      <c r="AN190" s="52">
        <v>21</v>
      </c>
      <c r="AO190" s="52">
        <f>G190*0</f>
        <v>0</v>
      </c>
      <c r="AP190" s="52">
        <f>G190*(1-0)</f>
        <v>0</v>
      </c>
      <c r="AQ190" s="54" t="s">
        <v>135</v>
      </c>
      <c r="AV190" s="52">
        <f>AW190+AX190</f>
        <v>0</v>
      </c>
      <c r="AW190" s="52">
        <f>F190*AO190</f>
        <v>0</v>
      </c>
      <c r="AX190" s="52">
        <f>F190*AP190</f>
        <v>0</v>
      </c>
      <c r="AY190" s="54" t="s">
        <v>250</v>
      </c>
      <c r="AZ190" s="54" t="s">
        <v>482</v>
      </c>
      <c r="BA190" s="34" t="s">
        <v>460</v>
      </c>
      <c r="BC190" s="52">
        <f>AW190+AX190</f>
        <v>0</v>
      </c>
      <c r="BD190" s="52">
        <f>G190/(100-BE190)*100</f>
        <v>0</v>
      </c>
      <c r="BE190" s="52">
        <v>0</v>
      </c>
      <c r="BF190" s="52">
        <f>190</f>
        <v>190</v>
      </c>
      <c r="BH190" s="52">
        <f>F190*AO190</f>
        <v>0</v>
      </c>
      <c r="BI190" s="52">
        <f>F190*AP190</f>
        <v>0</v>
      </c>
      <c r="BJ190" s="52">
        <f>F190*G190</f>
        <v>0</v>
      </c>
      <c r="BK190" s="52"/>
      <c r="BL190" s="52"/>
      <c r="BW190" s="52">
        <v>21</v>
      </c>
      <c r="BX190" s="3" t="s">
        <v>248</v>
      </c>
    </row>
    <row r="191" spans="1:76" x14ac:dyDescent="0.25">
      <c r="A191" s="48" t="s">
        <v>4</v>
      </c>
      <c r="B191" s="49" t="s">
        <v>252</v>
      </c>
      <c r="C191" s="143" t="s">
        <v>37</v>
      </c>
      <c r="D191" s="144"/>
      <c r="E191" s="50" t="s">
        <v>73</v>
      </c>
      <c r="F191" s="50" t="s">
        <v>73</v>
      </c>
      <c r="G191" s="50" t="s">
        <v>73</v>
      </c>
      <c r="H191" s="28">
        <f>SUM(H192:H198)</f>
        <v>0</v>
      </c>
      <c r="I191" s="28">
        <f>SUM(I192:I198)</f>
        <v>0</v>
      </c>
      <c r="J191" s="28">
        <f>SUM(J192:J198)</f>
        <v>0</v>
      </c>
      <c r="K191" s="51" t="s">
        <v>4</v>
      </c>
      <c r="AI191" s="34" t="s">
        <v>151</v>
      </c>
      <c r="AS191" s="28">
        <f>SUM(AJ192:AJ198)</f>
        <v>0</v>
      </c>
      <c r="AT191" s="28">
        <f>SUM(AK192:AK198)</f>
        <v>0</v>
      </c>
      <c r="AU191" s="28">
        <f>SUM(AL192:AL198)</f>
        <v>0</v>
      </c>
    </row>
    <row r="192" spans="1:76" x14ac:dyDescent="0.25">
      <c r="A192" s="1" t="s">
        <v>483</v>
      </c>
      <c r="B192" s="2" t="s">
        <v>263</v>
      </c>
      <c r="C192" s="66" t="s">
        <v>264</v>
      </c>
      <c r="D192" s="67"/>
      <c r="E192" s="2" t="s">
        <v>129</v>
      </c>
      <c r="F192" s="52">
        <v>7.7</v>
      </c>
      <c r="G192" s="52">
        <v>0</v>
      </c>
      <c r="H192" s="52">
        <f t="shared" ref="H192:H198" si="134">F192*AO192</f>
        <v>0</v>
      </c>
      <c r="I192" s="52">
        <f t="shared" ref="I192:I198" si="135">F192*AP192</f>
        <v>0</v>
      </c>
      <c r="J192" s="52">
        <f t="shared" ref="J192:J198" si="136">F192*G192</f>
        <v>0</v>
      </c>
      <c r="K192" s="53" t="s">
        <v>125</v>
      </c>
      <c r="Z192" s="52">
        <f t="shared" ref="Z192:Z198" si="137">IF(AQ192="5",BJ192,0)</f>
        <v>0</v>
      </c>
      <c r="AB192" s="52">
        <f t="shared" ref="AB192:AB198" si="138">IF(AQ192="1",BH192,0)</f>
        <v>0</v>
      </c>
      <c r="AC192" s="52">
        <f t="shared" ref="AC192:AC198" si="139">IF(AQ192="1",BI192,0)</f>
        <v>0</v>
      </c>
      <c r="AD192" s="52">
        <f t="shared" ref="AD192:AD198" si="140">IF(AQ192="7",BH192,0)</f>
        <v>0</v>
      </c>
      <c r="AE192" s="52">
        <f t="shared" ref="AE192:AE198" si="141">IF(AQ192="7",BI192,0)</f>
        <v>0</v>
      </c>
      <c r="AF192" s="52">
        <f t="shared" ref="AF192:AF198" si="142">IF(AQ192="2",BH192,0)</f>
        <v>0</v>
      </c>
      <c r="AG192" s="52">
        <f t="shared" ref="AG192:AG198" si="143">IF(AQ192="2",BI192,0)</f>
        <v>0</v>
      </c>
      <c r="AH192" s="52">
        <f t="shared" ref="AH192:AH198" si="144">IF(AQ192="0",BJ192,0)</f>
        <v>0</v>
      </c>
      <c r="AI192" s="34" t="s">
        <v>151</v>
      </c>
      <c r="AJ192" s="52">
        <f t="shared" ref="AJ192:AJ198" si="145">IF(AN192=0,J192,0)</f>
        <v>0</v>
      </c>
      <c r="AK192" s="52">
        <f t="shared" ref="AK192:AK198" si="146">IF(AN192=12,J192,0)</f>
        <v>0</v>
      </c>
      <c r="AL192" s="52">
        <f t="shared" ref="AL192:AL198" si="147">IF(AN192=21,J192,0)</f>
        <v>0</v>
      </c>
      <c r="AN192" s="52">
        <v>21</v>
      </c>
      <c r="AO192" s="52">
        <f t="shared" ref="AO192:AO198" si="148">G192*1</f>
        <v>0</v>
      </c>
      <c r="AP192" s="52">
        <f t="shared" ref="AP192:AP198" si="149">G192*(1-1)</f>
        <v>0</v>
      </c>
      <c r="AQ192" s="54" t="s">
        <v>256</v>
      </c>
      <c r="AV192" s="52">
        <f t="shared" ref="AV192:AV198" si="150">AW192+AX192</f>
        <v>0</v>
      </c>
      <c r="AW192" s="52">
        <f t="shared" ref="AW192:AW198" si="151">F192*AO192</f>
        <v>0</v>
      </c>
      <c r="AX192" s="52">
        <f t="shared" ref="AX192:AX198" si="152">F192*AP192</f>
        <v>0</v>
      </c>
      <c r="AY192" s="54" t="s">
        <v>257</v>
      </c>
      <c r="AZ192" s="54" t="s">
        <v>484</v>
      </c>
      <c r="BA192" s="34" t="s">
        <v>460</v>
      </c>
      <c r="BC192" s="52">
        <f t="shared" ref="BC192:BC198" si="153">AW192+AX192</f>
        <v>0</v>
      </c>
      <c r="BD192" s="52">
        <f t="shared" ref="BD192:BD198" si="154">G192/(100-BE192)*100</f>
        <v>0</v>
      </c>
      <c r="BE192" s="52">
        <v>0</v>
      </c>
      <c r="BF192" s="52">
        <f>192</f>
        <v>192</v>
      </c>
      <c r="BH192" s="52">
        <f t="shared" ref="BH192:BH198" si="155">F192*AO192</f>
        <v>0</v>
      </c>
      <c r="BI192" s="52">
        <f t="shared" ref="BI192:BI198" si="156">F192*AP192</f>
        <v>0</v>
      </c>
      <c r="BJ192" s="52">
        <f t="shared" ref="BJ192:BJ198" si="157">F192*G192</f>
        <v>0</v>
      </c>
      <c r="BK192" s="52"/>
      <c r="BL192" s="52"/>
      <c r="BW192" s="52">
        <v>21</v>
      </c>
      <c r="BX192" s="3" t="s">
        <v>264</v>
      </c>
    </row>
    <row r="193" spans="1:76" x14ac:dyDescent="0.25">
      <c r="A193" s="1" t="s">
        <v>485</v>
      </c>
      <c r="B193" s="2" t="s">
        <v>254</v>
      </c>
      <c r="C193" s="66" t="s">
        <v>486</v>
      </c>
      <c r="D193" s="67"/>
      <c r="E193" s="2" t="s">
        <v>231</v>
      </c>
      <c r="F193" s="52">
        <v>1540</v>
      </c>
      <c r="G193" s="52">
        <v>0</v>
      </c>
      <c r="H193" s="52">
        <f t="shared" si="134"/>
        <v>0</v>
      </c>
      <c r="I193" s="52">
        <f t="shared" si="135"/>
        <v>0</v>
      </c>
      <c r="J193" s="52">
        <f t="shared" si="136"/>
        <v>0</v>
      </c>
      <c r="K193" s="53" t="s">
        <v>4</v>
      </c>
      <c r="Z193" s="52">
        <f t="shared" si="137"/>
        <v>0</v>
      </c>
      <c r="AB193" s="52">
        <f t="shared" si="138"/>
        <v>0</v>
      </c>
      <c r="AC193" s="52">
        <f t="shared" si="139"/>
        <v>0</v>
      </c>
      <c r="AD193" s="52">
        <f t="shared" si="140"/>
        <v>0</v>
      </c>
      <c r="AE193" s="52">
        <f t="shared" si="141"/>
        <v>0</v>
      </c>
      <c r="AF193" s="52">
        <f t="shared" si="142"/>
        <v>0</v>
      </c>
      <c r="AG193" s="52">
        <f t="shared" si="143"/>
        <v>0</v>
      </c>
      <c r="AH193" s="52">
        <f t="shared" si="144"/>
        <v>0</v>
      </c>
      <c r="AI193" s="34" t="s">
        <v>151</v>
      </c>
      <c r="AJ193" s="52">
        <f t="shared" si="145"/>
        <v>0</v>
      </c>
      <c r="AK193" s="52">
        <f t="shared" si="146"/>
        <v>0</v>
      </c>
      <c r="AL193" s="52">
        <f t="shared" si="147"/>
        <v>0</v>
      </c>
      <c r="AN193" s="52">
        <v>21</v>
      </c>
      <c r="AO193" s="52">
        <f t="shared" si="148"/>
        <v>0</v>
      </c>
      <c r="AP193" s="52">
        <f t="shared" si="149"/>
        <v>0</v>
      </c>
      <c r="AQ193" s="54" t="s">
        <v>256</v>
      </c>
      <c r="AV193" s="52">
        <f t="shared" si="150"/>
        <v>0</v>
      </c>
      <c r="AW193" s="52">
        <f t="shared" si="151"/>
        <v>0</v>
      </c>
      <c r="AX193" s="52">
        <f t="shared" si="152"/>
        <v>0</v>
      </c>
      <c r="AY193" s="54" t="s">
        <v>257</v>
      </c>
      <c r="AZ193" s="54" t="s">
        <v>484</v>
      </c>
      <c r="BA193" s="34" t="s">
        <v>460</v>
      </c>
      <c r="BC193" s="52">
        <f t="shared" si="153"/>
        <v>0</v>
      </c>
      <c r="BD193" s="52">
        <f t="shared" si="154"/>
        <v>0</v>
      </c>
      <c r="BE193" s="52">
        <v>0</v>
      </c>
      <c r="BF193" s="52">
        <f>193</f>
        <v>193</v>
      </c>
      <c r="BH193" s="52">
        <f t="shared" si="155"/>
        <v>0</v>
      </c>
      <c r="BI193" s="52">
        <f t="shared" si="156"/>
        <v>0</v>
      </c>
      <c r="BJ193" s="52">
        <f t="shared" si="157"/>
        <v>0</v>
      </c>
      <c r="BK193" s="52"/>
      <c r="BL193" s="52"/>
      <c r="BW193" s="52">
        <v>21</v>
      </c>
      <c r="BX193" s="3" t="s">
        <v>486</v>
      </c>
    </row>
    <row r="194" spans="1:76" x14ac:dyDescent="0.25">
      <c r="A194" s="1" t="s">
        <v>487</v>
      </c>
      <c r="B194" s="2" t="s">
        <v>339</v>
      </c>
      <c r="C194" s="66" t="s">
        <v>340</v>
      </c>
      <c r="D194" s="67"/>
      <c r="E194" s="2" t="s">
        <v>341</v>
      </c>
      <c r="F194" s="52">
        <v>0.01</v>
      </c>
      <c r="G194" s="52">
        <v>0</v>
      </c>
      <c r="H194" s="52">
        <f t="shared" si="134"/>
        <v>0</v>
      </c>
      <c r="I194" s="52">
        <f t="shared" si="135"/>
        <v>0</v>
      </c>
      <c r="J194" s="52">
        <f t="shared" si="136"/>
        <v>0</v>
      </c>
      <c r="K194" s="53" t="s">
        <v>125</v>
      </c>
      <c r="Z194" s="52">
        <f t="shared" si="137"/>
        <v>0</v>
      </c>
      <c r="AB194" s="52">
        <f t="shared" si="138"/>
        <v>0</v>
      </c>
      <c r="AC194" s="52">
        <f t="shared" si="139"/>
        <v>0</v>
      </c>
      <c r="AD194" s="52">
        <f t="shared" si="140"/>
        <v>0</v>
      </c>
      <c r="AE194" s="52">
        <f t="shared" si="141"/>
        <v>0</v>
      </c>
      <c r="AF194" s="52">
        <f t="shared" si="142"/>
        <v>0</v>
      </c>
      <c r="AG194" s="52">
        <f t="shared" si="143"/>
        <v>0</v>
      </c>
      <c r="AH194" s="52">
        <f t="shared" si="144"/>
        <v>0</v>
      </c>
      <c r="AI194" s="34" t="s">
        <v>151</v>
      </c>
      <c r="AJ194" s="52">
        <f t="shared" si="145"/>
        <v>0</v>
      </c>
      <c r="AK194" s="52">
        <f t="shared" si="146"/>
        <v>0</v>
      </c>
      <c r="AL194" s="52">
        <f t="shared" si="147"/>
        <v>0</v>
      </c>
      <c r="AN194" s="52">
        <v>21</v>
      </c>
      <c r="AO194" s="52">
        <f t="shared" si="148"/>
        <v>0</v>
      </c>
      <c r="AP194" s="52">
        <f t="shared" si="149"/>
        <v>0</v>
      </c>
      <c r="AQ194" s="54" t="s">
        <v>256</v>
      </c>
      <c r="AV194" s="52">
        <f t="shared" si="150"/>
        <v>0</v>
      </c>
      <c r="AW194" s="52">
        <f t="shared" si="151"/>
        <v>0</v>
      </c>
      <c r="AX194" s="52">
        <f t="shared" si="152"/>
        <v>0</v>
      </c>
      <c r="AY194" s="54" t="s">
        <v>257</v>
      </c>
      <c r="AZ194" s="54" t="s">
        <v>484</v>
      </c>
      <c r="BA194" s="34" t="s">
        <v>460</v>
      </c>
      <c r="BC194" s="52">
        <f t="shared" si="153"/>
        <v>0</v>
      </c>
      <c r="BD194" s="52">
        <f t="shared" si="154"/>
        <v>0</v>
      </c>
      <c r="BE194" s="52">
        <v>0</v>
      </c>
      <c r="BF194" s="52">
        <f>194</f>
        <v>194</v>
      </c>
      <c r="BH194" s="52">
        <f t="shared" si="155"/>
        <v>0</v>
      </c>
      <c r="BI194" s="52">
        <f t="shared" si="156"/>
        <v>0</v>
      </c>
      <c r="BJ194" s="52">
        <f t="shared" si="157"/>
        <v>0</v>
      </c>
      <c r="BK194" s="52"/>
      <c r="BL194" s="52"/>
      <c r="BW194" s="52">
        <v>21</v>
      </c>
      <c r="BX194" s="3" t="s">
        <v>340</v>
      </c>
    </row>
    <row r="195" spans="1:76" x14ac:dyDescent="0.25">
      <c r="A195" s="1" t="s">
        <v>488</v>
      </c>
      <c r="B195" s="2" t="s">
        <v>302</v>
      </c>
      <c r="C195" s="66" t="s">
        <v>303</v>
      </c>
      <c r="D195" s="67"/>
      <c r="E195" s="2" t="s">
        <v>129</v>
      </c>
      <c r="F195" s="52">
        <v>4.4000000000000004</v>
      </c>
      <c r="G195" s="52">
        <v>0</v>
      </c>
      <c r="H195" s="52">
        <f t="shared" si="134"/>
        <v>0</v>
      </c>
      <c r="I195" s="52">
        <f t="shared" si="135"/>
        <v>0</v>
      </c>
      <c r="J195" s="52">
        <f t="shared" si="136"/>
        <v>0</v>
      </c>
      <c r="K195" s="53" t="s">
        <v>125</v>
      </c>
      <c r="Z195" s="52">
        <f t="shared" si="137"/>
        <v>0</v>
      </c>
      <c r="AB195" s="52">
        <f t="shared" si="138"/>
        <v>0</v>
      </c>
      <c r="AC195" s="52">
        <f t="shared" si="139"/>
        <v>0</v>
      </c>
      <c r="AD195" s="52">
        <f t="shared" si="140"/>
        <v>0</v>
      </c>
      <c r="AE195" s="52">
        <f t="shared" si="141"/>
        <v>0</v>
      </c>
      <c r="AF195" s="52">
        <f t="shared" si="142"/>
        <v>0</v>
      </c>
      <c r="AG195" s="52">
        <f t="shared" si="143"/>
        <v>0</v>
      </c>
      <c r="AH195" s="52">
        <f t="shared" si="144"/>
        <v>0</v>
      </c>
      <c r="AI195" s="34" t="s">
        <v>151</v>
      </c>
      <c r="AJ195" s="52">
        <f t="shared" si="145"/>
        <v>0</v>
      </c>
      <c r="AK195" s="52">
        <f t="shared" si="146"/>
        <v>0</v>
      </c>
      <c r="AL195" s="52">
        <f t="shared" si="147"/>
        <v>0</v>
      </c>
      <c r="AN195" s="52">
        <v>21</v>
      </c>
      <c r="AO195" s="52">
        <f t="shared" si="148"/>
        <v>0</v>
      </c>
      <c r="AP195" s="52">
        <f t="shared" si="149"/>
        <v>0</v>
      </c>
      <c r="AQ195" s="54" t="s">
        <v>256</v>
      </c>
      <c r="AV195" s="52">
        <f t="shared" si="150"/>
        <v>0</v>
      </c>
      <c r="AW195" s="52">
        <f t="shared" si="151"/>
        <v>0</v>
      </c>
      <c r="AX195" s="52">
        <f t="shared" si="152"/>
        <v>0</v>
      </c>
      <c r="AY195" s="54" t="s">
        <v>257</v>
      </c>
      <c r="AZ195" s="54" t="s">
        <v>484</v>
      </c>
      <c r="BA195" s="34" t="s">
        <v>460</v>
      </c>
      <c r="BC195" s="52">
        <f t="shared" si="153"/>
        <v>0</v>
      </c>
      <c r="BD195" s="52">
        <f t="shared" si="154"/>
        <v>0</v>
      </c>
      <c r="BE195" s="52">
        <v>0</v>
      </c>
      <c r="BF195" s="52">
        <f>195</f>
        <v>195</v>
      </c>
      <c r="BH195" s="52">
        <f t="shared" si="155"/>
        <v>0</v>
      </c>
      <c r="BI195" s="52">
        <f t="shared" si="156"/>
        <v>0</v>
      </c>
      <c r="BJ195" s="52">
        <f t="shared" si="157"/>
        <v>0</v>
      </c>
      <c r="BK195" s="52"/>
      <c r="BL195" s="52"/>
      <c r="BW195" s="52">
        <v>21</v>
      </c>
      <c r="BX195" s="3" t="s">
        <v>303</v>
      </c>
    </row>
    <row r="196" spans="1:76" x14ac:dyDescent="0.25">
      <c r="A196" s="1" t="s">
        <v>489</v>
      </c>
      <c r="B196" s="2" t="s">
        <v>490</v>
      </c>
      <c r="C196" s="66" t="s">
        <v>491</v>
      </c>
      <c r="D196" s="67"/>
      <c r="E196" s="2" t="s">
        <v>268</v>
      </c>
      <c r="F196" s="52">
        <v>155</v>
      </c>
      <c r="G196" s="52">
        <v>0</v>
      </c>
      <c r="H196" s="52">
        <f t="shared" si="134"/>
        <v>0</v>
      </c>
      <c r="I196" s="52">
        <f t="shared" si="135"/>
        <v>0</v>
      </c>
      <c r="J196" s="52">
        <f t="shared" si="136"/>
        <v>0</v>
      </c>
      <c r="K196" s="53" t="s">
        <v>4</v>
      </c>
      <c r="Z196" s="52">
        <f t="shared" si="137"/>
        <v>0</v>
      </c>
      <c r="AB196" s="52">
        <f t="shared" si="138"/>
        <v>0</v>
      </c>
      <c r="AC196" s="52">
        <f t="shared" si="139"/>
        <v>0</v>
      </c>
      <c r="AD196" s="52">
        <f t="shared" si="140"/>
        <v>0</v>
      </c>
      <c r="AE196" s="52">
        <f t="shared" si="141"/>
        <v>0</v>
      </c>
      <c r="AF196" s="52">
        <f t="shared" si="142"/>
        <v>0</v>
      </c>
      <c r="AG196" s="52">
        <f t="shared" si="143"/>
        <v>0</v>
      </c>
      <c r="AH196" s="52">
        <f t="shared" si="144"/>
        <v>0</v>
      </c>
      <c r="AI196" s="34" t="s">
        <v>151</v>
      </c>
      <c r="AJ196" s="52">
        <f t="shared" si="145"/>
        <v>0</v>
      </c>
      <c r="AK196" s="52">
        <f t="shared" si="146"/>
        <v>0</v>
      </c>
      <c r="AL196" s="52">
        <f t="shared" si="147"/>
        <v>0</v>
      </c>
      <c r="AN196" s="52">
        <v>21</v>
      </c>
      <c r="AO196" s="52">
        <f t="shared" si="148"/>
        <v>0</v>
      </c>
      <c r="AP196" s="52">
        <f t="shared" si="149"/>
        <v>0</v>
      </c>
      <c r="AQ196" s="54" t="s">
        <v>256</v>
      </c>
      <c r="AV196" s="52">
        <f t="shared" si="150"/>
        <v>0</v>
      </c>
      <c r="AW196" s="52">
        <f t="shared" si="151"/>
        <v>0</v>
      </c>
      <c r="AX196" s="52">
        <f t="shared" si="152"/>
        <v>0</v>
      </c>
      <c r="AY196" s="54" t="s">
        <v>257</v>
      </c>
      <c r="AZ196" s="54" t="s">
        <v>484</v>
      </c>
      <c r="BA196" s="34" t="s">
        <v>460</v>
      </c>
      <c r="BC196" s="52">
        <f t="shared" si="153"/>
        <v>0</v>
      </c>
      <c r="BD196" s="52">
        <f t="shared" si="154"/>
        <v>0</v>
      </c>
      <c r="BE196" s="52">
        <v>0</v>
      </c>
      <c r="BF196" s="52">
        <f>196</f>
        <v>196</v>
      </c>
      <c r="BH196" s="52">
        <f t="shared" si="155"/>
        <v>0</v>
      </c>
      <c r="BI196" s="52">
        <f t="shared" si="156"/>
        <v>0</v>
      </c>
      <c r="BJ196" s="52">
        <f t="shared" si="157"/>
        <v>0</v>
      </c>
      <c r="BK196" s="52"/>
      <c r="BL196" s="52"/>
      <c r="BW196" s="52">
        <v>21</v>
      </c>
      <c r="BX196" s="3" t="s">
        <v>491</v>
      </c>
    </row>
    <row r="197" spans="1:76" ht="25.5" x14ac:dyDescent="0.25">
      <c r="A197" s="1" t="s">
        <v>492</v>
      </c>
      <c r="B197" s="2" t="s">
        <v>493</v>
      </c>
      <c r="C197" s="66" t="s">
        <v>494</v>
      </c>
      <c r="D197" s="67"/>
      <c r="E197" s="2" t="s">
        <v>231</v>
      </c>
      <c r="F197" s="52">
        <v>417</v>
      </c>
      <c r="G197" s="52">
        <v>0</v>
      </c>
      <c r="H197" s="52">
        <f t="shared" si="134"/>
        <v>0</v>
      </c>
      <c r="I197" s="52">
        <f t="shared" si="135"/>
        <v>0</v>
      </c>
      <c r="J197" s="52">
        <f t="shared" si="136"/>
        <v>0</v>
      </c>
      <c r="K197" s="53" t="s">
        <v>4</v>
      </c>
      <c r="Z197" s="52">
        <f t="shared" si="137"/>
        <v>0</v>
      </c>
      <c r="AB197" s="52">
        <f t="shared" si="138"/>
        <v>0</v>
      </c>
      <c r="AC197" s="52">
        <f t="shared" si="139"/>
        <v>0</v>
      </c>
      <c r="AD197" s="52">
        <f t="shared" si="140"/>
        <v>0</v>
      </c>
      <c r="AE197" s="52">
        <f t="shared" si="141"/>
        <v>0</v>
      </c>
      <c r="AF197" s="52">
        <f t="shared" si="142"/>
        <v>0</v>
      </c>
      <c r="AG197" s="52">
        <f t="shared" si="143"/>
        <v>0</v>
      </c>
      <c r="AH197" s="52">
        <f t="shared" si="144"/>
        <v>0</v>
      </c>
      <c r="AI197" s="34" t="s">
        <v>151</v>
      </c>
      <c r="AJ197" s="52">
        <f t="shared" si="145"/>
        <v>0</v>
      </c>
      <c r="AK197" s="52">
        <f t="shared" si="146"/>
        <v>0</v>
      </c>
      <c r="AL197" s="52">
        <f t="shared" si="147"/>
        <v>0</v>
      </c>
      <c r="AN197" s="52">
        <v>21</v>
      </c>
      <c r="AO197" s="52">
        <f t="shared" si="148"/>
        <v>0</v>
      </c>
      <c r="AP197" s="52">
        <f t="shared" si="149"/>
        <v>0</v>
      </c>
      <c r="AQ197" s="54" t="s">
        <v>256</v>
      </c>
      <c r="AV197" s="52">
        <f t="shared" si="150"/>
        <v>0</v>
      </c>
      <c r="AW197" s="52">
        <f t="shared" si="151"/>
        <v>0</v>
      </c>
      <c r="AX197" s="52">
        <f t="shared" si="152"/>
        <v>0</v>
      </c>
      <c r="AY197" s="54" t="s">
        <v>257</v>
      </c>
      <c r="AZ197" s="54" t="s">
        <v>484</v>
      </c>
      <c r="BA197" s="34" t="s">
        <v>460</v>
      </c>
      <c r="BC197" s="52">
        <f t="shared" si="153"/>
        <v>0</v>
      </c>
      <c r="BD197" s="52">
        <f t="shared" si="154"/>
        <v>0</v>
      </c>
      <c r="BE197" s="52">
        <v>0</v>
      </c>
      <c r="BF197" s="52">
        <f>197</f>
        <v>197</v>
      </c>
      <c r="BH197" s="52">
        <f t="shared" si="155"/>
        <v>0</v>
      </c>
      <c r="BI197" s="52">
        <f t="shared" si="156"/>
        <v>0</v>
      </c>
      <c r="BJ197" s="52">
        <f t="shared" si="157"/>
        <v>0</v>
      </c>
      <c r="BK197" s="52"/>
      <c r="BL197" s="52"/>
      <c r="BW197" s="52">
        <v>21</v>
      </c>
      <c r="BX197" s="3" t="s">
        <v>494</v>
      </c>
    </row>
    <row r="198" spans="1:76" x14ac:dyDescent="0.25">
      <c r="A198" s="1" t="s">
        <v>495</v>
      </c>
      <c r="B198" s="2" t="s">
        <v>496</v>
      </c>
      <c r="C198" s="66" t="s">
        <v>497</v>
      </c>
      <c r="D198" s="67"/>
      <c r="E198" s="2" t="s">
        <v>231</v>
      </c>
      <c r="F198" s="52">
        <v>770</v>
      </c>
      <c r="G198" s="52">
        <v>0</v>
      </c>
      <c r="H198" s="52">
        <f t="shared" si="134"/>
        <v>0</v>
      </c>
      <c r="I198" s="52">
        <f t="shared" si="135"/>
        <v>0</v>
      </c>
      <c r="J198" s="52">
        <f t="shared" si="136"/>
        <v>0</v>
      </c>
      <c r="K198" s="53" t="s">
        <v>125</v>
      </c>
      <c r="Z198" s="52">
        <f t="shared" si="137"/>
        <v>0</v>
      </c>
      <c r="AB198" s="52">
        <f t="shared" si="138"/>
        <v>0</v>
      </c>
      <c r="AC198" s="52">
        <f t="shared" si="139"/>
        <v>0</v>
      </c>
      <c r="AD198" s="52">
        <f t="shared" si="140"/>
        <v>0</v>
      </c>
      <c r="AE198" s="52">
        <f t="shared" si="141"/>
        <v>0</v>
      </c>
      <c r="AF198" s="52">
        <f t="shared" si="142"/>
        <v>0</v>
      </c>
      <c r="AG198" s="52">
        <f t="shared" si="143"/>
        <v>0</v>
      </c>
      <c r="AH198" s="52">
        <f t="shared" si="144"/>
        <v>0</v>
      </c>
      <c r="AI198" s="34" t="s">
        <v>151</v>
      </c>
      <c r="AJ198" s="52">
        <f t="shared" si="145"/>
        <v>0</v>
      </c>
      <c r="AK198" s="52">
        <f t="shared" si="146"/>
        <v>0</v>
      </c>
      <c r="AL198" s="52">
        <f t="shared" si="147"/>
        <v>0</v>
      </c>
      <c r="AN198" s="52">
        <v>21</v>
      </c>
      <c r="AO198" s="52">
        <f t="shared" si="148"/>
        <v>0</v>
      </c>
      <c r="AP198" s="52">
        <f t="shared" si="149"/>
        <v>0</v>
      </c>
      <c r="AQ198" s="54" t="s">
        <v>256</v>
      </c>
      <c r="AV198" s="52">
        <f t="shared" si="150"/>
        <v>0</v>
      </c>
      <c r="AW198" s="52">
        <f t="shared" si="151"/>
        <v>0</v>
      </c>
      <c r="AX198" s="52">
        <f t="shared" si="152"/>
        <v>0</v>
      </c>
      <c r="AY198" s="54" t="s">
        <v>257</v>
      </c>
      <c r="AZ198" s="54" t="s">
        <v>484</v>
      </c>
      <c r="BA198" s="34" t="s">
        <v>460</v>
      </c>
      <c r="BC198" s="52">
        <f t="shared" si="153"/>
        <v>0</v>
      </c>
      <c r="BD198" s="52">
        <f t="shared" si="154"/>
        <v>0</v>
      </c>
      <c r="BE198" s="52">
        <v>0</v>
      </c>
      <c r="BF198" s="52">
        <f>198</f>
        <v>198</v>
      </c>
      <c r="BH198" s="52">
        <f t="shared" si="155"/>
        <v>0</v>
      </c>
      <c r="BI198" s="52">
        <f t="shared" si="156"/>
        <v>0</v>
      </c>
      <c r="BJ198" s="52">
        <f t="shared" si="157"/>
        <v>0</v>
      </c>
      <c r="BK198" s="52"/>
      <c r="BL198" s="52"/>
      <c r="BW198" s="52">
        <v>21</v>
      </c>
      <c r="BX198" s="3" t="s">
        <v>497</v>
      </c>
    </row>
    <row r="199" spans="1:76" ht="297" customHeight="1" x14ac:dyDescent="0.25">
      <c r="A199" s="55"/>
      <c r="B199" s="56" t="s">
        <v>57</v>
      </c>
      <c r="C199" s="138" t="s">
        <v>498</v>
      </c>
      <c r="D199" s="139"/>
      <c r="E199" s="139"/>
      <c r="F199" s="139"/>
      <c r="G199" s="139"/>
      <c r="H199" s="139"/>
      <c r="I199" s="139"/>
      <c r="J199" s="139"/>
      <c r="K199" s="140"/>
    </row>
    <row r="200" spans="1:76" x14ac:dyDescent="0.25">
      <c r="A200" s="57" t="s">
        <v>4</v>
      </c>
      <c r="B200" s="58" t="s">
        <v>4</v>
      </c>
      <c r="C200" s="141" t="s">
        <v>499</v>
      </c>
      <c r="D200" s="142"/>
      <c r="E200" s="59" t="s">
        <v>73</v>
      </c>
      <c r="F200" s="59" t="s">
        <v>73</v>
      </c>
      <c r="G200" s="59" t="s">
        <v>73</v>
      </c>
      <c r="H200" s="60">
        <f>H201+H205+H207</f>
        <v>0</v>
      </c>
      <c r="I200" s="60">
        <f>I201+I205+I207</f>
        <v>0</v>
      </c>
      <c r="J200" s="60">
        <f>J201+J205+J207</f>
        <v>0</v>
      </c>
      <c r="K200" s="61" t="s">
        <v>4</v>
      </c>
    </row>
    <row r="201" spans="1:76" x14ac:dyDescent="0.25">
      <c r="A201" s="48" t="s">
        <v>4</v>
      </c>
      <c r="B201" s="49" t="s">
        <v>182</v>
      </c>
      <c r="C201" s="143" t="s">
        <v>203</v>
      </c>
      <c r="D201" s="144"/>
      <c r="E201" s="50" t="s">
        <v>73</v>
      </c>
      <c r="F201" s="50" t="s">
        <v>73</v>
      </c>
      <c r="G201" s="50" t="s">
        <v>73</v>
      </c>
      <c r="H201" s="28">
        <f>SUM(H202:H204)</f>
        <v>0</v>
      </c>
      <c r="I201" s="28">
        <f>SUM(I202:I204)</f>
        <v>0</v>
      </c>
      <c r="J201" s="28">
        <f>SUM(J202:J204)</f>
        <v>0</v>
      </c>
      <c r="K201" s="51" t="s">
        <v>4</v>
      </c>
      <c r="AI201" s="34" t="s">
        <v>111</v>
      </c>
      <c r="AS201" s="28">
        <f>SUM(AJ202:AJ204)</f>
        <v>0</v>
      </c>
      <c r="AT201" s="28">
        <f>SUM(AK202:AK204)</f>
        <v>0</v>
      </c>
      <c r="AU201" s="28">
        <f>SUM(AL202:AL204)</f>
        <v>0</v>
      </c>
    </row>
    <row r="202" spans="1:76" x14ac:dyDescent="0.25">
      <c r="A202" s="1" t="s">
        <v>500</v>
      </c>
      <c r="B202" s="2" t="s">
        <v>239</v>
      </c>
      <c r="C202" s="66" t="s">
        <v>501</v>
      </c>
      <c r="D202" s="67"/>
      <c r="E202" s="2" t="s">
        <v>138</v>
      </c>
      <c r="F202" s="52">
        <v>131</v>
      </c>
      <c r="G202" s="52">
        <v>0</v>
      </c>
      <c r="H202" s="52">
        <f>F202*AO202</f>
        <v>0</v>
      </c>
      <c r="I202" s="52">
        <f>F202*AP202</f>
        <v>0</v>
      </c>
      <c r="J202" s="52">
        <f>F202*G202</f>
        <v>0</v>
      </c>
      <c r="K202" s="53" t="s">
        <v>125</v>
      </c>
      <c r="Z202" s="52">
        <f>IF(AQ202="5",BJ202,0)</f>
        <v>0</v>
      </c>
      <c r="AB202" s="52">
        <f>IF(AQ202="1",BH202,0)</f>
        <v>0</v>
      </c>
      <c r="AC202" s="52">
        <f>IF(AQ202="1",BI202,0)</f>
        <v>0</v>
      </c>
      <c r="AD202" s="52">
        <f>IF(AQ202="7",BH202,0)</f>
        <v>0</v>
      </c>
      <c r="AE202" s="52">
        <f>IF(AQ202="7",BI202,0)</f>
        <v>0</v>
      </c>
      <c r="AF202" s="52">
        <f>IF(AQ202="2",BH202,0)</f>
        <v>0</v>
      </c>
      <c r="AG202" s="52">
        <f>IF(AQ202="2",BI202,0)</f>
        <v>0</v>
      </c>
      <c r="AH202" s="52">
        <f>IF(AQ202="0",BJ202,0)</f>
        <v>0</v>
      </c>
      <c r="AI202" s="34" t="s">
        <v>111</v>
      </c>
      <c r="AJ202" s="52">
        <f>IF(AN202=0,J202,0)</f>
        <v>0</v>
      </c>
      <c r="AK202" s="52">
        <f>IF(AN202=12,J202,0)</f>
        <v>0</v>
      </c>
      <c r="AL202" s="52">
        <f>IF(AN202=21,J202,0)</f>
        <v>0</v>
      </c>
      <c r="AN202" s="52">
        <v>21</v>
      </c>
      <c r="AO202" s="52">
        <f>G202*0.570710059</f>
        <v>0</v>
      </c>
      <c r="AP202" s="52">
        <f>G202*(1-0.570710059)</f>
        <v>0</v>
      </c>
      <c r="AQ202" s="54" t="s">
        <v>114</v>
      </c>
      <c r="AV202" s="52">
        <f>AW202+AX202</f>
        <v>0</v>
      </c>
      <c r="AW202" s="52">
        <f>F202*AO202</f>
        <v>0</v>
      </c>
      <c r="AX202" s="52">
        <f>F202*AP202</f>
        <v>0</v>
      </c>
      <c r="AY202" s="54" t="s">
        <v>207</v>
      </c>
      <c r="AZ202" s="54" t="s">
        <v>502</v>
      </c>
      <c r="BA202" s="34" t="s">
        <v>118</v>
      </c>
      <c r="BC202" s="52">
        <f>AW202+AX202</f>
        <v>0</v>
      </c>
      <c r="BD202" s="52">
        <f>G202/(100-BE202)*100</f>
        <v>0</v>
      </c>
      <c r="BE202" s="52">
        <v>0</v>
      </c>
      <c r="BF202" s="52">
        <f>202</f>
        <v>202</v>
      </c>
      <c r="BH202" s="52">
        <f>F202*AO202</f>
        <v>0</v>
      </c>
      <c r="BI202" s="52">
        <f>F202*AP202</f>
        <v>0</v>
      </c>
      <c r="BJ202" s="52">
        <f>F202*G202</f>
        <v>0</v>
      </c>
      <c r="BK202" s="52"/>
      <c r="BL202" s="52">
        <v>18</v>
      </c>
      <c r="BW202" s="52">
        <v>21</v>
      </c>
      <c r="BX202" s="3" t="s">
        <v>501</v>
      </c>
    </row>
    <row r="203" spans="1:76" x14ac:dyDescent="0.25">
      <c r="A203" s="1" t="s">
        <v>503</v>
      </c>
      <c r="B203" s="2" t="s">
        <v>239</v>
      </c>
      <c r="C203" s="66" t="s">
        <v>504</v>
      </c>
      <c r="D203" s="67"/>
      <c r="E203" s="2" t="s">
        <v>138</v>
      </c>
      <c r="F203" s="52">
        <v>312</v>
      </c>
      <c r="G203" s="52">
        <v>0</v>
      </c>
      <c r="H203" s="52">
        <f>F203*AO203</f>
        <v>0</v>
      </c>
      <c r="I203" s="52">
        <f>F203*AP203</f>
        <v>0</v>
      </c>
      <c r="J203" s="52">
        <f>F203*G203</f>
        <v>0</v>
      </c>
      <c r="K203" s="53" t="s">
        <v>125</v>
      </c>
      <c r="Z203" s="52">
        <f>IF(AQ203="5",BJ203,0)</f>
        <v>0</v>
      </c>
      <c r="AB203" s="52">
        <f>IF(AQ203="1",BH203,0)</f>
        <v>0</v>
      </c>
      <c r="AC203" s="52">
        <f>IF(AQ203="1",BI203,0)</f>
        <v>0</v>
      </c>
      <c r="AD203" s="52">
        <f>IF(AQ203="7",BH203,0)</f>
        <v>0</v>
      </c>
      <c r="AE203" s="52">
        <f>IF(AQ203="7",BI203,0)</f>
        <v>0</v>
      </c>
      <c r="AF203" s="52">
        <f>IF(AQ203="2",BH203,0)</f>
        <v>0</v>
      </c>
      <c r="AG203" s="52">
        <f>IF(AQ203="2",BI203,0)</f>
        <v>0</v>
      </c>
      <c r="AH203" s="52">
        <f>IF(AQ203="0",BJ203,0)</f>
        <v>0</v>
      </c>
      <c r="AI203" s="34" t="s">
        <v>111</v>
      </c>
      <c r="AJ203" s="52">
        <f>IF(AN203=0,J203,0)</f>
        <v>0</v>
      </c>
      <c r="AK203" s="52">
        <f>IF(AN203=12,J203,0)</f>
        <v>0</v>
      </c>
      <c r="AL203" s="52">
        <f>IF(AN203=21,J203,0)</f>
        <v>0</v>
      </c>
      <c r="AN203" s="52">
        <v>21</v>
      </c>
      <c r="AO203" s="52">
        <f>G203*0.570710059</f>
        <v>0</v>
      </c>
      <c r="AP203" s="52">
        <f>G203*(1-0.570710059)</f>
        <v>0</v>
      </c>
      <c r="AQ203" s="54" t="s">
        <v>114</v>
      </c>
      <c r="AV203" s="52">
        <f>AW203+AX203</f>
        <v>0</v>
      </c>
      <c r="AW203" s="52">
        <f>F203*AO203</f>
        <v>0</v>
      </c>
      <c r="AX203" s="52">
        <f>F203*AP203</f>
        <v>0</v>
      </c>
      <c r="AY203" s="54" t="s">
        <v>207</v>
      </c>
      <c r="AZ203" s="54" t="s">
        <v>502</v>
      </c>
      <c r="BA203" s="34" t="s">
        <v>118</v>
      </c>
      <c r="BC203" s="52">
        <f>AW203+AX203</f>
        <v>0</v>
      </c>
      <c r="BD203" s="52">
        <f>G203/(100-BE203)*100</f>
        <v>0</v>
      </c>
      <c r="BE203" s="52">
        <v>0</v>
      </c>
      <c r="BF203" s="52">
        <f>203</f>
        <v>203</v>
      </c>
      <c r="BH203" s="52">
        <f>F203*AO203</f>
        <v>0</v>
      </c>
      <c r="BI203" s="52">
        <f>F203*AP203</f>
        <v>0</v>
      </c>
      <c r="BJ203" s="52">
        <f>F203*G203</f>
        <v>0</v>
      </c>
      <c r="BK203" s="52"/>
      <c r="BL203" s="52">
        <v>18</v>
      </c>
      <c r="BW203" s="52">
        <v>21</v>
      </c>
      <c r="BX203" s="3" t="s">
        <v>504</v>
      </c>
    </row>
    <row r="204" spans="1:76" x14ac:dyDescent="0.25">
      <c r="A204" s="1" t="s">
        <v>505</v>
      </c>
      <c r="B204" s="2" t="s">
        <v>506</v>
      </c>
      <c r="C204" s="66" t="s">
        <v>507</v>
      </c>
      <c r="D204" s="67"/>
      <c r="E204" s="2" t="s">
        <v>138</v>
      </c>
      <c r="F204" s="52">
        <v>312</v>
      </c>
      <c r="G204" s="52">
        <v>0</v>
      </c>
      <c r="H204" s="52">
        <f>F204*AO204</f>
        <v>0</v>
      </c>
      <c r="I204" s="52">
        <f>F204*AP204</f>
        <v>0</v>
      </c>
      <c r="J204" s="52">
        <f>F204*G204</f>
        <v>0</v>
      </c>
      <c r="K204" s="53" t="s">
        <v>125</v>
      </c>
      <c r="Z204" s="52">
        <f>IF(AQ204="5",BJ204,0)</f>
        <v>0</v>
      </c>
      <c r="AB204" s="52">
        <f>IF(AQ204="1",BH204,0)</f>
        <v>0</v>
      </c>
      <c r="AC204" s="52">
        <f>IF(AQ204="1",BI204,0)</f>
        <v>0</v>
      </c>
      <c r="AD204" s="52">
        <f>IF(AQ204="7",BH204,0)</f>
        <v>0</v>
      </c>
      <c r="AE204" s="52">
        <f>IF(AQ204="7",BI204,0)</f>
        <v>0</v>
      </c>
      <c r="AF204" s="52">
        <f>IF(AQ204="2",BH204,0)</f>
        <v>0</v>
      </c>
      <c r="AG204" s="52">
        <f>IF(AQ204="2",BI204,0)</f>
        <v>0</v>
      </c>
      <c r="AH204" s="52">
        <f>IF(AQ204="0",BJ204,0)</f>
        <v>0</v>
      </c>
      <c r="AI204" s="34" t="s">
        <v>111</v>
      </c>
      <c r="AJ204" s="52">
        <f>IF(AN204=0,J204,0)</f>
        <v>0</v>
      </c>
      <c r="AK204" s="52">
        <f>IF(AN204=12,J204,0)</f>
        <v>0</v>
      </c>
      <c r="AL204" s="52">
        <f>IF(AN204=21,J204,0)</f>
        <v>0</v>
      </c>
      <c r="AN204" s="52">
        <v>21</v>
      </c>
      <c r="AO204" s="52">
        <f>G204*0.070477816</f>
        <v>0</v>
      </c>
      <c r="AP204" s="52">
        <f>G204*(1-0.070477816)</f>
        <v>0</v>
      </c>
      <c r="AQ204" s="54" t="s">
        <v>114</v>
      </c>
      <c r="AV204" s="52">
        <f>AW204+AX204</f>
        <v>0</v>
      </c>
      <c r="AW204" s="52">
        <f>F204*AO204</f>
        <v>0</v>
      </c>
      <c r="AX204" s="52">
        <f>F204*AP204</f>
        <v>0</v>
      </c>
      <c r="AY204" s="54" t="s">
        <v>207</v>
      </c>
      <c r="AZ204" s="54" t="s">
        <v>502</v>
      </c>
      <c r="BA204" s="34" t="s">
        <v>118</v>
      </c>
      <c r="BC204" s="52">
        <f>AW204+AX204</f>
        <v>0</v>
      </c>
      <c r="BD204" s="52">
        <f>G204/(100-BE204)*100</f>
        <v>0</v>
      </c>
      <c r="BE204" s="52">
        <v>0</v>
      </c>
      <c r="BF204" s="52">
        <f>204</f>
        <v>204</v>
      </c>
      <c r="BH204" s="52">
        <f>F204*AO204</f>
        <v>0</v>
      </c>
      <c r="BI204" s="52">
        <f>F204*AP204</f>
        <v>0</v>
      </c>
      <c r="BJ204" s="52">
        <f>F204*G204</f>
        <v>0</v>
      </c>
      <c r="BK204" s="52"/>
      <c r="BL204" s="52">
        <v>18</v>
      </c>
      <c r="BW204" s="52">
        <v>21</v>
      </c>
      <c r="BX204" s="3" t="s">
        <v>507</v>
      </c>
    </row>
    <row r="205" spans="1:76" x14ac:dyDescent="0.25">
      <c r="A205" s="48" t="s">
        <v>4</v>
      </c>
      <c r="B205" s="49" t="s">
        <v>244</v>
      </c>
      <c r="C205" s="143" t="s">
        <v>245</v>
      </c>
      <c r="D205" s="144"/>
      <c r="E205" s="50" t="s">
        <v>73</v>
      </c>
      <c r="F205" s="50" t="s">
        <v>73</v>
      </c>
      <c r="G205" s="50" t="s">
        <v>73</v>
      </c>
      <c r="H205" s="28">
        <f>SUM(H206:H206)</f>
        <v>0</v>
      </c>
      <c r="I205" s="28">
        <f>SUM(I206:I206)</f>
        <v>0</v>
      </c>
      <c r="J205" s="28">
        <f>SUM(J206:J206)</f>
        <v>0</v>
      </c>
      <c r="K205" s="51" t="s">
        <v>4</v>
      </c>
      <c r="AI205" s="34" t="s">
        <v>111</v>
      </c>
      <c r="AS205" s="28">
        <f>SUM(AJ206:AJ206)</f>
        <v>0</v>
      </c>
      <c r="AT205" s="28">
        <f>SUM(AK206:AK206)</f>
        <v>0</v>
      </c>
      <c r="AU205" s="28">
        <f>SUM(AL206:AL206)</f>
        <v>0</v>
      </c>
    </row>
    <row r="206" spans="1:76" x14ac:dyDescent="0.25">
      <c r="A206" s="1" t="s">
        <v>508</v>
      </c>
      <c r="B206" s="2" t="s">
        <v>247</v>
      </c>
      <c r="C206" s="66" t="s">
        <v>248</v>
      </c>
      <c r="D206" s="67"/>
      <c r="E206" s="2" t="s">
        <v>249</v>
      </c>
      <c r="F206" s="52">
        <v>3</v>
      </c>
      <c r="G206" s="52">
        <v>0</v>
      </c>
      <c r="H206" s="52">
        <f>F206*AO206</f>
        <v>0</v>
      </c>
      <c r="I206" s="52">
        <f>F206*AP206</f>
        <v>0</v>
      </c>
      <c r="J206" s="52">
        <f>F206*G206</f>
        <v>0</v>
      </c>
      <c r="K206" s="53" t="s">
        <v>125</v>
      </c>
      <c r="Z206" s="52">
        <f>IF(AQ206="5",BJ206,0)</f>
        <v>0</v>
      </c>
      <c r="AB206" s="52">
        <f>IF(AQ206="1",BH206,0)</f>
        <v>0</v>
      </c>
      <c r="AC206" s="52">
        <f>IF(AQ206="1",BI206,0)</f>
        <v>0</v>
      </c>
      <c r="AD206" s="52">
        <f>IF(AQ206="7",BH206,0)</f>
        <v>0</v>
      </c>
      <c r="AE206" s="52">
        <f>IF(AQ206="7",BI206,0)</f>
        <v>0</v>
      </c>
      <c r="AF206" s="52">
        <f>IF(AQ206="2",BH206,0)</f>
        <v>0</v>
      </c>
      <c r="AG206" s="52">
        <f>IF(AQ206="2",BI206,0)</f>
        <v>0</v>
      </c>
      <c r="AH206" s="52">
        <f>IF(AQ206="0",BJ206,0)</f>
        <v>0</v>
      </c>
      <c r="AI206" s="34" t="s">
        <v>111</v>
      </c>
      <c r="AJ206" s="52">
        <f>IF(AN206=0,J206,0)</f>
        <v>0</v>
      </c>
      <c r="AK206" s="52">
        <f>IF(AN206=12,J206,0)</f>
        <v>0</v>
      </c>
      <c r="AL206" s="52">
        <f>IF(AN206=21,J206,0)</f>
        <v>0</v>
      </c>
      <c r="AN206" s="52">
        <v>21</v>
      </c>
      <c r="AO206" s="52">
        <f>G206*0</f>
        <v>0</v>
      </c>
      <c r="AP206" s="52">
        <f>G206*(1-0)</f>
        <v>0</v>
      </c>
      <c r="AQ206" s="54" t="s">
        <v>135</v>
      </c>
      <c r="AV206" s="52">
        <f>AW206+AX206</f>
        <v>0</v>
      </c>
      <c r="AW206" s="52">
        <f>F206*AO206</f>
        <v>0</v>
      </c>
      <c r="AX206" s="52">
        <f>F206*AP206</f>
        <v>0</v>
      </c>
      <c r="AY206" s="54" t="s">
        <v>250</v>
      </c>
      <c r="AZ206" s="54" t="s">
        <v>509</v>
      </c>
      <c r="BA206" s="34" t="s">
        <v>118</v>
      </c>
      <c r="BC206" s="52">
        <f>AW206+AX206</f>
        <v>0</v>
      </c>
      <c r="BD206" s="52">
        <f>G206/(100-BE206)*100</f>
        <v>0</v>
      </c>
      <c r="BE206" s="52">
        <v>0</v>
      </c>
      <c r="BF206" s="52">
        <f>206</f>
        <v>206</v>
      </c>
      <c r="BH206" s="52">
        <f>F206*AO206</f>
        <v>0</v>
      </c>
      <c r="BI206" s="52">
        <f>F206*AP206</f>
        <v>0</v>
      </c>
      <c r="BJ206" s="52">
        <f>F206*G206</f>
        <v>0</v>
      </c>
      <c r="BK206" s="52"/>
      <c r="BL206" s="52"/>
      <c r="BW206" s="52">
        <v>21</v>
      </c>
      <c r="BX206" s="3" t="s">
        <v>248</v>
      </c>
    </row>
    <row r="207" spans="1:76" x14ac:dyDescent="0.25">
      <c r="A207" s="48" t="s">
        <v>4</v>
      </c>
      <c r="B207" s="49" t="s">
        <v>252</v>
      </c>
      <c r="C207" s="143" t="s">
        <v>37</v>
      </c>
      <c r="D207" s="144"/>
      <c r="E207" s="50" t="s">
        <v>73</v>
      </c>
      <c r="F207" s="50" t="s">
        <v>73</v>
      </c>
      <c r="G207" s="50" t="s">
        <v>73</v>
      </c>
      <c r="H207" s="28">
        <f>SUM(H208:H211)</f>
        <v>0</v>
      </c>
      <c r="I207" s="28">
        <f>SUM(I208:I211)</f>
        <v>0</v>
      </c>
      <c r="J207" s="28">
        <f>SUM(J208:J211)</f>
        <v>0</v>
      </c>
      <c r="K207" s="51" t="s">
        <v>4</v>
      </c>
      <c r="AI207" s="34" t="s">
        <v>111</v>
      </c>
      <c r="AS207" s="28">
        <f>SUM(AJ208:AJ211)</f>
        <v>0</v>
      </c>
      <c r="AT207" s="28">
        <f>SUM(AK208:AK211)</f>
        <v>0</v>
      </c>
      <c r="AU207" s="28">
        <f>SUM(AL208:AL211)</f>
        <v>0</v>
      </c>
    </row>
    <row r="208" spans="1:76" ht="25.5" x14ac:dyDescent="0.25">
      <c r="A208" s="1" t="s">
        <v>510</v>
      </c>
      <c r="B208" s="2" t="s">
        <v>266</v>
      </c>
      <c r="C208" s="66" t="s">
        <v>511</v>
      </c>
      <c r="D208" s="67"/>
      <c r="E208" s="2" t="s">
        <v>268</v>
      </c>
      <c r="F208" s="52">
        <v>66</v>
      </c>
      <c r="G208" s="52">
        <v>0</v>
      </c>
      <c r="H208" s="52">
        <f>F208*AO208</f>
        <v>0</v>
      </c>
      <c r="I208" s="52">
        <f>F208*AP208</f>
        <v>0</v>
      </c>
      <c r="J208" s="52">
        <f>F208*G208</f>
        <v>0</v>
      </c>
      <c r="K208" s="53" t="s">
        <v>125</v>
      </c>
      <c r="Z208" s="52">
        <f>IF(AQ208="5",BJ208,0)</f>
        <v>0</v>
      </c>
      <c r="AB208" s="52">
        <f>IF(AQ208="1",BH208,0)</f>
        <v>0</v>
      </c>
      <c r="AC208" s="52">
        <f>IF(AQ208="1",BI208,0)</f>
        <v>0</v>
      </c>
      <c r="AD208" s="52">
        <f>IF(AQ208="7",BH208,0)</f>
        <v>0</v>
      </c>
      <c r="AE208" s="52">
        <f>IF(AQ208="7",BI208,0)</f>
        <v>0</v>
      </c>
      <c r="AF208" s="52">
        <f>IF(AQ208="2",BH208,0)</f>
        <v>0</v>
      </c>
      <c r="AG208" s="52">
        <f>IF(AQ208="2",BI208,0)</f>
        <v>0</v>
      </c>
      <c r="AH208" s="52">
        <f>IF(AQ208="0",BJ208,0)</f>
        <v>0</v>
      </c>
      <c r="AI208" s="34" t="s">
        <v>111</v>
      </c>
      <c r="AJ208" s="52">
        <f>IF(AN208=0,J208,0)</f>
        <v>0</v>
      </c>
      <c r="AK208" s="52">
        <f>IF(AN208=12,J208,0)</f>
        <v>0</v>
      </c>
      <c r="AL208" s="52">
        <f>IF(AN208=21,J208,0)</f>
        <v>0</v>
      </c>
      <c r="AN208" s="52">
        <v>21</v>
      </c>
      <c r="AO208" s="52">
        <f>G208*1</f>
        <v>0</v>
      </c>
      <c r="AP208" s="52">
        <f>G208*(1-1)</f>
        <v>0</v>
      </c>
      <c r="AQ208" s="54" t="s">
        <v>256</v>
      </c>
      <c r="AV208" s="52">
        <f>AW208+AX208</f>
        <v>0</v>
      </c>
      <c r="AW208" s="52">
        <f>F208*AO208</f>
        <v>0</v>
      </c>
      <c r="AX208" s="52">
        <f>F208*AP208</f>
        <v>0</v>
      </c>
      <c r="AY208" s="54" t="s">
        <v>257</v>
      </c>
      <c r="AZ208" s="54" t="s">
        <v>512</v>
      </c>
      <c r="BA208" s="34" t="s">
        <v>118</v>
      </c>
      <c r="BC208" s="52">
        <f>AW208+AX208</f>
        <v>0</v>
      </c>
      <c r="BD208" s="52">
        <f>G208/(100-BE208)*100</f>
        <v>0</v>
      </c>
      <c r="BE208" s="52">
        <v>0</v>
      </c>
      <c r="BF208" s="52">
        <f>208</f>
        <v>208</v>
      </c>
      <c r="BH208" s="52">
        <f>F208*AO208</f>
        <v>0</v>
      </c>
      <c r="BI208" s="52">
        <f>F208*AP208</f>
        <v>0</v>
      </c>
      <c r="BJ208" s="52">
        <f>F208*G208</f>
        <v>0</v>
      </c>
      <c r="BK208" s="52"/>
      <c r="BL208" s="52"/>
      <c r="BW208" s="52">
        <v>21</v>
      </c>
      <c r="BX208" s="3" t="s">
        <v>511</v>
      </c>
    </row>
    <row r="209" spans="1:76" ht="25.5" x14ac:dyDescent="0.25">
      <c r="A209" s="1" t="s">
        <v>513</v>
      </c>
      <c r="B209" s="2" t="s">
        <v>266</v>
      </c>
      <c r="C209" s="66" t="s">
        <v>514</v>
      </c>
      <c r="D209" s="67"/>
      <c r="E209" s="2" t="s">
        <v>268</v>
      </c>
      <c r="F209" s="52">
        <v>936</v>
      </c>
      <c r="G209" s="52">
        <v>0</v>
      </c>
      <c r="H209" s="52">
        <f>F209*AO209</f>
        <v>0</v>
      </c>
      <c r="I209" s="52">
        <f>F209*AP209</f>
        <v>0</v>
      </c>
      <c r="J209" s="52">
        <f>F209*G209</f>
        <v>0</v>
      </c>
      <c r="K209" s="53" t="s">
        <v>125</v>
      </c>
      <c r="Z209" s="52">
        <f>IF(AQ209="5",BJ209,0)</f>
        <v>0</v>
      </c>
      <c r="AB209" s="52">
        <f>IF(AQ209="1",BH209,0)</f>
        <v>0</v>
      </c>
      <c r="AC209" s="52">
        <f>IF(AQ209="1",BI209,0)</f>
        <v>0</v>
      </c>
      <c r="AD209" s="52">
        <f>IF(AQ209="7",BH209,0)</f>
        <v>0</v>
      </c>
      <c r="AE209" s="52">
        <f>IF(AQ209="7",BI209,0)</f>
        <v>0</v>
      </c>
      <c r="AF209" s="52">
        <f>IF(AQ209="2",BH209,0)</f>
        <v>0</v>
      </c>
      <c r="AG209" s="52">
        <f>IF(AQ209="2",BI209,0)</f>
        <v>0</v>
      </c>
      <c r="AH209" s="52">
        <f>IF(AQ209="0",BJ209,0)</f>
        <v>0</v>
      </c>
      <c r="AI209" s="34" t="s">
        <v>111</v>
      </c>
      <c r="AJ209" s="52">
        <f>IF(AN209=0,J209,0)</f>
        <v>0</v>
      </c>
      <c r="AK209" s="52">
        <f>IF(AN209=12,J209,0)</f>
        <v>0</v>
      </c>
      <c r="AL209" s="52">
        <f>IF(AN209=21,J209,0)</f>
        <v>0</v>
      </c>
      <c r="AN209" s="52">
        <v>21</v>
      </c>
      <c r="AO209" s="52">
        <f>G209*1</f>
        <v>0</v>
      </c>
      <c r="AP209" s="52">
        <f>G209*(1-1)</f>
        <v>0</v>
      </c>
      <c r="AQ209" s="54" t="s">
        <v>256</v>
      </c>
      <c r="AV209" s="52">
        <f>AW209+AX209</f>
        <v>0</v>
      </c>
      <c r="AW209" s="52">
        <f>F209*AO209</f>
        <v>0</v>
      </c>
      <c r="AX209" s="52">
        <f>F209*AP209</f>
        <v>0</v>
      </c>
      <c r="AY209" s="54" t="s">
        <v>257</v>
      </c>
      <c r="AZ209" s="54" t="s">
        <v>512</v>
      </c>
      <c r="BA209" s="34" t="s">
        <v>118</v>
      </c>
      <c r="BC209" s="52">
        <f>AW209+AX209</f>
        <v>0</v>
      </c>
      <c r="BD209" s="52">
        <f>G209/(100-BE209)*100</f>
        <v>0</v>
      </c>
      <c r="BE209" s="52">
        <v>0</v>
      </c>
      <c r="BF209" s="52">
        <f>209</f>
        <v>209</v>
      </c>
      <c r="BH209" s="52">
        <f>F209*AO209</f>
        <v>0</v>
      </c>
      <c r="BI209" s="52">
        <f>F209*AP209</f>
        <v>0</v>
      </c>
      <c r="BJ209" s="52">
        <f>F209*G209</f>
        <v>0</v>
      </c>
      <c r="BK209" s="52"/>
      <c r="BL209" s="52"/>
      <c r="BW209" s="52">
        <v>21</v>
      </c>
      <c r="BX209" s="3" t="s">
        <v>514</v>
      </c>
    </row>
    <row r="210" spans="1:76" ht="13.5" customHeight="1" x14ac:dyDescent="0.25">
      <c r="A210" s="55"/>
      <c r="B210" s="56" t="s">
        <v>57</v>
      </c>
      <c r="C210" s="138" t="s">
        <v>515</v>
      </c>
      <c r="D210" s="139"/>
      <c r="E210" s="139"/>
      <c r="F210" s="139"/>
      <c r="G210" s="139"/>
      <c r="H210" s="139"/>
      <c r="I210" s="139"/>
      <c r="J210" s="139"/>
      <c r="K210" s="140"/>
    </row>
    <row r="211" spans="1:76" ht="25.5" x14ac:dyDescent="0.25">
      <c r="A211" s="1" t="s">
        <v>516</v>
      </c>
      <c r="B211" s="2" t="s">
        <v>292</v>
      </c>
      <c r="C211" s="66" t="s">
        <v>517</v>
      </c>
      <c r="D211" s="67"/>
      <c r="E211" s="2" t="s">
        <v>231</v>
      </c>
      <c r="F211" s="52">
        <v>624</v>
      </c>
      <c r="G211" s="52">
        <v>0</v>
      </c>
      <c r="H211" s="52">
        <f>F211*AO211</f>
        <v>0</v>
      </c>
      <c r="I211" s="52">
        <f>F211*AP211</f>
        <v>0</v>
      </c>
      <c r="J211" s="52">
        <f>F211*G211</f>
        <v>0</v>
      </c>
      <c r="K211" s="53" t="s">
        <v>125</v>
      </c>
      <c r="Z211" s="52">
        <f>IF(AQ211="5",BJ211,0)</f>
        <v>0</v>
      </c>
      <c r="AB211" s="52">
        <f>IF(AQ211="1",BH211,0)</f>
        <v>0</v>
      </c>
      <c r="AC211" s="52">
        <f>IF(AQ211="1",BI211,0)</f>
        <v>0</v>
      </c>
      <c r="AD211" s="52">
        <f>IF(AQ211="7",BH211,0)</f>
        <v>0</v>
      </c>
      <c r="AE211" s="52">
        <f>IF(AQ211="7",BI211,0)</f>
        <v>0</v>
      </c>
      <c r="AF211" s="52">
        <f>IF(AQ211="2",BH211,0)</f>
        <v>0</v>
      </c>
      <c r="AG211" s="52">
        <f>IF(AQ211="2",BI211,0)</f>
        <v>0</v>
      </c>
      <c r="AH211" s="52">
        <f>IF(AQ211="0",BJ211,0)</f>
        <v>0</v>
      </c>
      <c r="AI211" s="34" t="s">
        <v>111</v>
      </c>
      <c r="AJ211" s="52">
        <f>IF(AN211=0,J211,0)</f>
        <v>0</v>
      </c>
      <c r="AK211" s="52">
        <f>IF(AN211=12,J211,0)</f>
        <v>0</v>
      </c>
      <c r="AL211" s="52">
        <f>IF(AN211=21,J211,0)</f>
        <v>0</v>
      </c>
      <c r="AN211" s="52">
        <v>21</v>
      </c>
      <c r="AO211" s="52">
        <f>G211*1</f>
        <v>0</v>
      </c>
      <c r="AP211" s="52">
        <f>G211*(1-1)</f>
        <v>0</v>
      </c>
      <c r="AQ211" s="54" t="s">
        <v>256</v>
      </c>
      <c r="AV211" s="52">
        <f>AW211+AX211</f>
        <v>0</v>
      </c>
      <c r="AW211" s="52">
        <f>F211*AO211</f>
        <v>0</v>
      </c>
      <c r="AX211" s="52">
        <f>F211*AP211</f>
        <v>0</v>
      </c>
      <c r="AY211" s="54" t="s">
        <v>257</v>
      </c>
      <c r="AZ211" s="54" t="s">
        <v>512</v>
      </c>
      <c r="BA211" s="34" t="s">
        <v>118</v>
      </c>
      <c r="BC211" s="52">
        <f>AW211+AX211</f>
        <v>0</v>
      </c>
      <c r="BD211" s="52">
        <f>G211/(100-BE211)*100</f>
        <v>0</v>
      </c>
      <c r="BE211" s="52">
        <v>0</v>
      </c>
      <c r="BF211" s="52">
        <f>211</f>
        <v>211</v>
      </c>
      <c r="BH211" s="52">
        <f>F211*AO211</f>
        <v>0</v>
      </c>
      <c r="BI211" s="52">
        <f>F211*AP211</f>
        <v>0</v>
      </c>
      <c r="BJ211" s="52">
        <f>F211*G211</f>
        <v>0</v>
      </c>
      <c r="BK211" s="52"/>
      <c r="BL211" s="52"/>
      <c r="BW211" s="52">
        <v>21</v>
      </c>
      <c r="BX211" s="3" t="s">
        <v>517</v>
      </c>
    </row>
    <row r="212" spans="1:76" x14ac:dyDescent="0.25">
      <c r="A212" s="57" t="s">
        <v>4</v>
      </c>
      <c r="B212" s="58" t="s">
        <v>4</v>
      </c>
      <c r="C212" s="141" t="s">
        <v>518</v>
      </c>
      <c r="D212" s="142"/>
      <c r="E212" s="59" t="s">
        <v>73</v>
      </c>
      <c r="F212" s="59" t="s">
        <v>73</v>
      </c>
      <c r="G212" s="59" t="s">
        <v>73</v>
      </c>
      <c r="H212" s="60">
        <f>H213</f>
        <v>0</v>
      </c>
      <c r="I212" s="60">
        <f>I213</f>
        <v>0</v>
      </c>
      <c r="J212" s="60">
        <f>J213</f>
        <v>0</v>
      </c>
      <c r="K212" s="61" t="s">
        <v>4</v>
      </c>
    </row>
    <row r="213" spans="1:76" x14ac:dyDescent="0.25">
      <c r="A213" s="48" t="s">
        <v>4</v>
      </c>
      <c r="B213" s="49" t="s">
        <v>111</v>
      </c>
      <c r="C213" s="143" t="s">
        <v>112</v>
      </c>
      <c r="D213" s="144"/>
      <c r="E213" s="50" t="s">
        <v>73</v>
      </c>
      <c r="F213" s="50" t="s">
        <v>73</v>
      </c>
      <c r="G213" s="50" t="s">
        <v>73</v>
      </c>
      <c r="H213" s="28">
        <f>SUM(H214:H214)</f>
        <v>0</v>
      </c>
      <c r="I213" s="28">
        <f>SUM(I214:I214)</f>
        <v>0</v>
      </c>
      <c r="J213" s="28">
        <f>SUM(J214:J214)</f>
        <v>0</v>
      </c>
      <c r="K213" s="51" t="s">
        <v>4</v>
      </c>
      <c r="AI213" s="34" t="s">
        <v>156</v>
      </c>
      <c r="AS213" s="28">
        <f>SUM(AJ214:AJ214)</f>
        <v>0</v>
      </c>
      <c r="AT213" s="28">
        <f>SUM(AK214:AK214)</f>
        <v>0</v>
      </c>
      <c r="AU213" s="28">
        <f>SUM(AL214:AL214)</f>
        <v>0</v>
      </c>
    </row>
    <row r="214" spans="1:76" x14ac:dyDescent="0.25">
      <c r="A214" s="4" t="s">
        <v>519</v>
      </c>
      <c r="B214" s="5" t="s">
        <v>457</v>
      </c>
      <c r="C214" s="145" t="s">
        <v>520</v>
      </c>
      <c r="D214" s="103"/>
      <c r="E214" s="5" t="s">
        <v>175</v>
      </c>
      <c r="F214" s="62">
        <v>1</v>
      </c>
      <c r="G214" s="62">
        <v>0</v>
      </c>
      <c r="H214" s="62">
        <f>F214*AO214</f>
        <v>0</v>
      </c>
      <c r="I214" s="62">
        <f>F214*AP214</f>
        <v>0</v>
      </c>
      <c r="J214" s="62">
        <f>F214*G214</f>
        <v>0</v>
      </c>
      <c r="K214" s="63" t="s">
        <v>4</v>
      </c>
      <c r="Z214" s="52">
        <f>IF(AQ214="5",BJ214,0)</f>
        <v>0</v>
      </c>
      <c r="AB214" s="52">
        <f>IF(AQ214="1",BH214,0)</f>
        <v>0</v>
      </c>
      <c r="AC214" s="52">
        <f>IF(AQ214="1",BI214,0)</f>
        <v>0</v>
      </c>
      <c r="AD214" s="52">
        <f>IF(AQ214="7",BH214,0)</f>
        <v>0</v>
      </c>
      <c r="AE214" s="52">
        <f>IF(AQ214="7",BI214,0)</f>
        <v>0</v>
      </c>
      <c r="AF214" s="52">
        <f>IF(AQ214="2",BH214,0)</f>
        <v>0</v>
      </c>
      <c r="AG214" s="52">
        <f>IF(AQ214="2",BI214,0)</f>
        <v>0</v>
      </c>
      <c r="AH214" s="52">
        <f>IF(AQ214="0",BJ214,0)</f>
        <v>0</v>
      </c>
      <c r="AI214" s="34" t="s">
        <v>156</v>
      </c>
      <c r="AJ214" s="52">
        <f>IF(AN214=0,J214,0)</f>
        <v>0</v>
      </c>
      <c r="AK214" s="52">
        <f>IF(AN214=12,J214,0)</f>
        <v>0</v>
      </c>
      <c r="AL214" s="52">
        <f>IF(AN214=21,J214,0)</f>
        <v>0</v>
      </c>
      <c r="AN214" s="52">
        <v>21</v>
      </c>
      <c r="AO214" s="52">
        <f>G214*0</f>
        <v>0</v>
      </c>
      <c r="AP214" s="52">
        <f>G214*(1-0)</f>
        <v>0</v>
      </c>
      <c r="AQ214" s="54" t="s">
        <v>114</v>
      </c>
      <c r="AV214" s="52">
        <f>AW214+AX214</f>
        <v>0</v>
      </c>
      <c r="AW214" s="52">
        <f>F214*AO214</f>
        <v>0</v>
      </c>
      <c r="AX214" s="52">
        <f>F214*AP214</f>
        <v>0</v>
      </c>
      <c r="AY214" s="54" t="s">
        <v>118</v>
      </c>
      <c r="AZ214" s="54" t="s">
        <v>521</v>
      </c>
      <c r="BA214" s="34" t="s">
        <v>522</v>
      </c>
      <c r="BC214" s="52">
        <f>AW214+AX214</f>
        <v>0</v>
      </c>
      <c r="BD214" s="52">
        <f>G214/(100-BE214)*100</f>
        <v>0</v>
      </c>
      <c r="BE214" s="52">
        <v>0</v>
      </c>
      <c r="BF214" s="52">
        <f>214</f>
        <v>214</v>
      </c>
      <c r="BH214" s="52">
        <f>F214*AO214</f>
        <v>0</v>
      </c>
      <c r="BI214" s="52">
        <f>F214*AP214</f>
        <v>0</v>
      </c>
      <c r="BJ214" s="52">
        <f>F214*G214</f>
        <v>0</v>
      </c>
      <c r="BK214" s="52"/>
      <c r="BL214" s="52">
        <v>11</v>
      </c>
      <c r="BW214" s="52">
        <v>21</v>
      </c>
      <c r="BX214" s="3" t="s">
        <v>520</v>
      </c>
    </row>
    <row r="215" spans="1:76" x14ac:dyDescent="0.25">
      <c r="H215" s="137" t="s">
        <v>523</v>
      </c>
      <c r="I215" s="137"/>
      <c r="J215" s="64">
        <f>J13+J45+J55+J57+J71+J73+J94+J102+J104+J112+J118+J120+J124+J126+J133+J135+J138+J148+J152+J154+J162+J164+J176+J178+J186+J189+J191+J201+J205+J207+J213</f>
        <v>0</v>
      </c>
    </row>
    <row r="216" spans="1:76" x14ac:dyDescent="0.25">
      <c r="A216" s="65" t="s">
        <v>57</v>
      </c>
    </row>
    <row r="217" spans="1:76" ht="12.75" customHeight="1" x14ac:dyDescent="0.25">
      <c r="A217" s="66" t="s">
        <v>4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</row>
  </sheetData>
  <mergeCells count="233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20:D20"/>
    <mergeCell ref="C21:K21"/>
    <mergeCell ref="C22:D22"/>
    <mergeCell ref="C23:K23"/>
    <mergeCell ref="C24:D24"/>
    <mergeCell ref="C15:K15"/>
    <mergeCell ref="C16:D16"/>
    <mergeCell ref="C17:K17"/>
    <mergeCell ref="C18:D18"/>
    <mergeCell ref="C19:K19"/>
    <mergeCell ref="C30:D30"/>
    <mergeCell ref="C31:K31"/>
    <mergeCell ref="C32:D32"/>
    <mergeCell ref="C33:K33"/>
    <mergeCell ref="C34:D34"/>
    <mergeCell ref="C25:K25"/>
    <mergeCell ref="C26:D26"/>
    <mergeCell ref="C27:K27"/>
    <mergeCell ref="C28:D28"/>
    <mergeCell ref="C29:K29"/>
    <mergeCell ref="C40:D40"/>
    <mergeCell ref="C41:K41"/>
    <mergeCell ref="C42:D42"/>
    <mergeCell ref="C43:K43"/>
    <mergeCell ref="C44:D44"/>
    <mergeCell ref="C35:K35"/>
    <mergeCell ref="C36:D36"/>
    <mergeCell ref="C37:K37"/>
    <mergeCell ref="C38:D38"/>
    <mergeCell ref="C39:K39"/>
    <mergeCell ref="C50:D50"/>
    <mergeCell ref="C51:D51"/>
    <mergeCell ref="C52:D52"/>
    <mergeCell ref="C53:D53"/>
    <mergeCell ref="C54:D54"/>
    <mergeCell ref="C45:D45"/>
    <mergeCell ref="C46:D46"/>
    <mergeCell ref="C47:K47"/>
    <mergeCell ref="C48:D48"/>
    <mergeCell ref="C49:D4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K81"/>
    <mergeCell ref="C82:D82"/>
    <mergeCell ref="C83:K83"/>
    <mergeCell ref="C84:D84"/>
    <mergeCell ref="C75:D75"/>
    <mergeCell ref="C76:D76"/>
    <mergeCell ref="C77:D77"/>
    <mergeCell ref="C78:D78"/>
    <mergeCell ref="C79:K79"/>
    <mergeCell ref="C90:D90"/>
    <mergeCell ref="C91:D91"/>
    <mergeCell ref="C92:D92"/>
    <mergeCell ref="C93:D93"/>
    <mergeCell ref="C94:D94"/>
    <mergeCell ref="C85:K85"/>
    <mergeCell ref="C86:D86"/>
    <mergeCell ref="C87:K87"/>
    <mergeCell ref="C88:D88"/>
    <mergeCell ref="C89:D8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K108"/>
    <mergeCell ref="C109:D10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40:K140"/>
    <mergeCell ref="C141:D141"/>
    <mergeCell ref="C142:K142"/>
    <mergeCell ref="C143:D143"/>
    <mergeCell ref="C144:K14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45:D145"/>
    <mergeCell ref="C146:K146"/>
    <mergeCell ref="C147:D147"/>
    <mergeCell ref="C148:D148"/>
    <mergeCell ref="C149:D14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K16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K188"/>
    <mergeCell ref="C189:D189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K199"/>
    <mergeCell ref="H215:I215"/>
    <mergeCell ref="A217:K217"/>
    <mergeCell ref="C210:K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Květoslava Michalová</cp:lastModifiedBy>
  <dcterms:created xsi:type="dcterms:W3CDTF">2021-06-10T20:06:38Z</dcterms:created>
  <dcterms:modified xsi:type="dcterms:W3CDTF">2024-12-04T09:38:32Z</dcterms:modified>
</cp:coreProperties>
</file>