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2"/>
  </bookViews>
  <sheets>
    <sheet name="Krycí list rozpočtu" sheetId="1" r:id="rId1"/>
    <sheet name="VORN" sheetId="2" state="hidden" r:id="rId2"/>
    <sheet name="Stavební rozpočet" sheetId="3" r:id="rId3"/>
  </sheets>
  <definedNames>
    <definedName name="vorn_sum">'VORN'!$I$45</definedName>
  </definedNames>
  <calcPr calcId="145621"/>
  <extLst/>
</workbook>
</file>

<file path=xl/sharedStrings.xml><?xml version="1.0" encoding="utf-8"?>
<sst xmlns="http://schemas.openxmlformats.org/spreadsheetml/2006/main" count="1302" uniqueCount="637">
  <si>
    <t>Krycí list slepého rozpočtu</t>
  </si>
  <si>
    <t>Název stavby:</t>
  </si>
  <si>
    <t>Objednatel:</t>
  </si>
  <si>
    <t>IČO/DIČ: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</si>
  <si>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</si>
  <si>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</si>
  <si>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</si>
  <si>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</si>
  <si>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</si>
  <si>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</si>
  <si>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</si>
  <si>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</si>
  <si>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</si>
  <si>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</si>
  <si>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</si>
  <si>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</si>
  <si>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</si>
  <si>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</si>
  <si>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</si>
  <si>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</si>
  <si>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</si>
  <si>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</si>
  <si>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</si>
  <si>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</si>
  <si>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</si>
  <si>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</si>
  <si>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</si>
  <si>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</si>
  <si>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</si>
  <si>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</si>
  <si>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</si>
  <si>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</si>
  <si>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</si>
  <si>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</si>
  <si>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</si>
  <si>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</si>
  <si>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</si>
  <si>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</si>
  <si>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</si>
  <si>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</si>
  <si>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</si>
  <si>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</si>
  <si>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VORN celkem</t>
  </si>
  <si>
    <t>VORN celkem z obj.</t>
  </si>
  <si>
    <t>Základ 0%</t>
  </si>
  <si>
    <t>Základ 12%</t>
  </si>
  <si>
    <t>DPH 12%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</si>
  <si>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</si>
  <si>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</si>
  <si>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</si>
  <si>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</si>
  <si>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</si>
  <si>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</si>
  <si>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</si>
  <si>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</si>
  <si>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Poznámka:</t>
  </si>
  <si>
    <t>Veškeré výkazy přeneseny z původního rozpočtu.</t>
  </si>
  <si>
    <t>Vedlejší a ostatní rozpočtové náklady</t>
  </si>
  <si>
    <t>Vedlejší rozpočtové náklady VRN</t>
  </si>
  <si>
    <t>Doplňkové náklady DN</t>
  </si>
  <si>
    <t>Kč</t>
  </si>
  <si>
    <t>%</t>
  </si>
  <si>
    <t>Základna</t>
  </si>
  <si>
    <t>Celkem DN</t>
  </si>
  <si>
    <t>Celkem NUS</t>
  </si>
  <si>
    <t>Celkem VRN</t>
  </si>
  <si>
    <t>Vedlejší a ostatní rozpočtové náklady VORN</t>
  </si>
  <si>
    <t>Ostatní rozpočtové náklady (VORN)</t>
  </si>
  <si>
    <t>Průzkumy, geodetické a projektové práce</t>
  </si>
  <si>
    <t>Příprava staveniště</t>
  </si>
  <si>
    <t>Inženýrské činnosti</t>
  </si>
  <si>
    <t>Finanční náklady</t>
  </si>
  <si>
    <t>Náklady na pracovníky</t>
  </si>
  <si>
    <t>Ostatní náklady</t>
  </si>
  <si>
    <t>Vlastní VORN</t>
  </si>
  <si>
    <t>Celkem VORN</t>
  </si>
  <si>
    <t>Slepý stavební rozpočet</t>
  </si>
  <si>
    <t>Výměna otvorových prvků objektu ubytovny sester č.p. 506 - Odborný léčebný ústav Jevíčko</t>
  </si>
  <si>
    <t>Doba výstavby:</t>
  </si>
  <si>
    <t xml:space="preserve"> </t>
  </si>
  <si>
    <t> </t>
  </si>
  <si>
    <t>21.03.2024</t>
  </si>
  <si>
    <t>Zpracováno dne:</t>
  </si>
  <si>
    <t>Martin Černý, DiS.</t>
  </si>
  <si>
    <t>Č</t>
  </si>
  <si>
    <t>Kód</t>
  </si>
  <si>
    <t>Zkrácený popis</t>
  </si>
  <si>
    <t>MJ</t>
  </si>
  <si>
    <t>Množství</t>
  </si>
  <si>
    <t>Cena/MJ</t>
  </si>
  <si>
    <t>Náklady (Kč)</t>
  </si>
  <si>
    <t>Hmotnost (t)</t>
  </si>
  <si>
    <t>Cenová</t>
  </si>
  <si>
    <t>ISWORK</t>
  </si>
  <si>
    <t>GROUPCODE</t>
  </si>
  <si>
    <t>VATTAX</t>
  </si>
  <si>
    <t>Rozměry</t>
  </si>
  <si>
    <t>(Kč)</t>
  </si>
  <si>
    <t>Celkem</t>
  </si>
  <si>
    <t>Jednot.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</si>
  <si>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</si>
  <si>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</si>
  <si>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</si>
  <si>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</si>
  <si>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</si>
  <si>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</si>
  <si>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</si>
  <si>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</si>
  <si>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</si>
  <si>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</si>
  <si>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MAT</t>
  </si>
  <si>
    <t>WORK</t>
  </si>
  <si>
    <t>CELK</t>
  </si>
  <si>
    <t>Nezařazeno</t>
  </si>
  <si>
    <t>31</t>
  </si>
  <si>
    <t>Zdi podpěrné a volné</t>
  </si>
  <si>
    <t>1</t>
  </si>
  <si>
    <t>310238211RT1</t>
  </si>
  <si>
    <t>Zazdívka otvorů plochy do 1 m2 cihlami na MVC</t>
  </si>
  <si>
    <t>m3</t>
  </si>
  <si>
    <t>RTS II / 2023</t>
  </si>
  <si>
    <t>31_</t>
  </si>
  <si>
    <t>_3_</t>
  </si>
  <si>
    <t>_</t>
  </si>
  <si>
    <t>s použitím suché maltové směsi</t>
  </si>
  <si>
    <t>;dozdívka parapetů u oken; 62*1*0,15*0,45</t>
  </si>
  <si>
    <t>2</t>
  </si>
  <si>
    <t>310239211RT2</t>
  </si>
  <si>
    <t>Zazdívka otvorů plochy do 4 m2 cihlami na MVC</t>
  </si>
  <si>
    <t>;dozdívka po výměně dveří za okno v 1.NP-pozice d2.02.n; 1,2*0,48*1,3</t>
  </si>
  <si>
    <t>34</t>
  </si>
  <si>
    <t>Stěny a příčky</t>
  </si>
  <si>
    <t>3</t>
  </si>
  <si>
    <t>340238211RT2</t>
  </si>
  <si>
    <t>Zazdívka otvorů pl.1 m2,cihlami tl.zdi do 10 cm</t>
  </si>
  <si>
    <t>m2</t>
  </si>
  <si>
    <t>34_</t>
  </si>
  <si>
    <t>;dodatečná dozdívka u oken; 15</t>
  </si>
  <si>
    <t>4</t>
  </si>
  <si>
    <t>349231811RT2</t>
  </si>
  <si>
    <t>Přizdívka ostění s ozubem z cihel, kapsy do 15 cm</t>
  </si>
  <si>
    <t>;přizdívka ostění po vybourání oken; 32*2,17*2*0,5</t>
  </si>
  <si>
    <t>5</t>
  </si>
  <si>
    <t>346275113R00</t>
  </si>
  <si>
    <t>Přizdívky z desek PB tl. 100 mm</t>
  </si>
  <si>
    <t>Dozdění vnitřního ostění, parapetu tepelně izolačním zdivem, tl.100mm</t>
  </si>
  <si>
    <t>64*2,2*2*0,25</t>
  </si>
  <si>
    <t>61</t>
  </si>
  <si>
    <t>Úprava povrchů vnitřní</t>
  </si>
  <si>
    <t>6</t>
  </si>
  <si>
    <t>612425931R00</t>
  </si>
  <si>
    <t>Omítka vápenná vnitřního ostění - štuková</t>
  </si>
  <si>
    <t>61_</t>
  </si>
  <si>
    <t>_6_</t>
  </si>
  <si>
    <t>;okna 1pp; (1,22*2+1,14+(1,22*2+0,96)*9+(0,62*2+0,82)+(0,62*2+0,92)*2+(0,62*2+0,77)+(0,62*2+0,87))*0,25</t>
  </si>
  <si>
    <t>;okna 1np; ((2,22*2+1,28)*14+(2,17*2+0,58)*2+(2,17*2+1,27)+3,72+(1,77*2+0,96)+(1,77*2+0,88)*3+(2,17*2+1,08)*4+(1,77*2+0,9)+(1,77*2+0,88)*2+(2,17*2+1,28)*2)*0,25</t>
  </si>
  <si>
    <t>((1,52*2+1)*2+(1,57*2+0,88)*2)*0,25</t>
  </si>
  <si>
    <t>;okna 2np; ((2,12*2+1,28)*6+(2,12*2+1,48)*2+(2,12*2+0,88)*3+(3,07*2+1,48)+4,03)*0,25</t>
  </si>
  <si>
    <t>;dveře 1pp;((1,03+2,12*2)*3+(1,03+2,12*2)+(0,92+2,12)+(1,0+2,12*2)+(1,3+2,12*2))*0,25</t>
  </si>
  <si>
    <t>;dveře 1np; ((1,0+3,09*2)+(1,32+2,7*2)+(1,33+2,1*2)+(1,02+2,07*2)+(1,27+2,72*2))*0,25</t>
  </si>
  <si>
    <t>7</t>
  </si>
  <si>
    <t>612000013VD</t>
  </si>
  <si>
    <t>Dočasná výplň okenních otvorů</t>
  </si>
  <si>
    <t>ks</t>
  </si>
  <si>
    <t>po vybourání stávajícího, do doby, než bude osazeno nové okno - nosná konstrukce z dřevěných hranolů s výplní z OSB desek,62 kusů otvorů - rozměry otvorů viz projektová dokumentace</t>
  </si>
  <si>
    <t>62</t>
  </si>
  <si>
    <t>8</t>
  </si>
  <si>
    <t>610991111R00</t>
  </si>
  <si>
    <t>Zakrývání výplní vnitřních otvorů</t>
  </si>
  <si>
    <t>;1.PP;1,2*1,4*10+1,2*2,1*6+1,4*2,2+1,1*0,9*6</t>
  </si>
  <si>
    <t>;1.NP;1,45*2,4*16+1,1*2,0*7+1,2*2,3*4+1,3*1,7*2+1,1*1,7*2+1,5*3*2+1,2*2,3+1,5*2,1+1,1*3,2</t>
  </si>
  <si>
    <t>;2.NP;1,5*2,3*6+1,6*2,3*2+1,1*2,3*3+1,6*3,3</t>
  </si>
  <si>
    <t>9</t>
  </si>
  <si>
    <t>613473115R00</t>
  </si>
  <si>
    <t>Příplatek za zabudované rohovníky, sloupy a pilíře</t>
  </si>
  <si>
    <t>m</t>
  </si>
  <si>
    <t>Montáž a dodávka omítkových profilů plastových, pozinkovaných nebo dřevěných upevněných vtlačením do podkladní vrstvy nebo přibitím rohových s tkaninou</t>
  </si>
  <si>
    <t>;okna 1pp; 1,22*2+1,14+(1,22*2+0,96)*9+(0,62*2+0,82)+(0,62*2+0,92)*2+(0,62*2+0,77)+(0,62*2+0,87)</t>
  </si>
  <si>
    <t>;okna 1np; (2,22*2+1,28)*14+(2,17*2+0,58)*2+(2,17*2+1,27)+3,72+(1,77*2+0,96)+(1,77*2+0,88)*3+(2,17*2+1,08)*4+(1,77*2+0,9)+(1,77*2+0,88)*2+(2,17*2+1,28)*2</t>
  </si>
  <si>
    <t>(1,52*2+1)*2+(1,57*2+0,88)*2</t>
  </si>
  <si>
    <t>;okna 2np; (2,12*2+1,28)*6+(2,12*2+1,48)*2+(2,12*2+0,88)*3+(3,07*2+1,48)+4,03</t>
  </si>
  <si>
    <t>;dveře 1pp; (1,03+2,12*2)*3+(1,03+2,12*2)+(0,92+2,12)+(1,0+2,12*2)+(1,3+2,12*2)</t>
  </si>
  <si>
    <t>;dveře 1np; (1,0+3,09*2)+(1,32+2,7*2)+(1,33+2,1*2)+(1,02+2,07*2)+(1,27+2,72*2)</t>
  </si>
  <si>
    <t>10</t>
  </si>
  <si>
    <t>622473187RT2</t>
  </si>
  <si>
    <t>Příplatek za okenní lištu (APU) - montáž</t>
  </si>
  <si>
    <t>včetně dodávky lišty</t>
  </si>
  <si>
    <t>;okna 1np; (2,22*2+1,28)*14+(2,17*2+0,58)*2+(2,17*2+1,27)+3,72+(1,77*2+0,96)+(1,77*2+0,88)*3</t>
  </si>
  <si>
    <t>(1,77*2+0,88)*2+(2,17*2+1,28)*2+(2,17*2+1,08)*4+(1,77*2+0,9)</t>
  </si>
  <si>
    <t>11</t>
  </si>
  <si>
    <t>612401391R00</t>
  </si>
  <si>
    <t>Omítka malých ploch vnitřních stěn do 1 m2</t>
  </si>
  <si>
    <t>kus</t>
  </si>
  <si>
    <t>;vnější omítka po zazdění dveří; 1,27*0,95</t>
  </si>
  <si>
    <t>Úprava povrchů vnější</t>
  </si>
  <si>
    <t>12</t>
  </si>
  <si>
    <t>622904115R00</t>
  </si>
  <si>
    <t>Očištění fasád tlakovou vodou složitost 3 - 5</t>
  </si>
  <si>
    <t>62_</t>
  </si>
  <si>
    <t>Ostění, Příprava podkladů - celoplošné omytí tlakovou vodou a mechanické dočištění po vyschnutí - členitost 1 (skladba A, Z5.n)- nadsoklová část - viz. technická zpráva</t>
  </si>
  <si>
    <t>;okna 1np; ((2,22*2+1,28)*14+(2,17*2+0,58)*2+(2,17*2+1,27)+3,72+(1,77*2+0,96)+(1,77*2+0,88)*3+(2,17*2+1,08)*4+(1,77*2+0,9)+(1,77*2+0,88)*2+(2,17*2+1,28)*2)*0,2</t>
  </si>
  <si>
    <t>((1,52*2+1)*2+(1,57*2+0,88)*2)*0,2</t>
  </si>
  <si>
    <t>;okna 2np; ((2,12*2+1,28)*6+(2,12*2+1,48)*2+(2,12*2+0,88)*3+(3,07*2+1,48)+4,03)*0,2</t>
  </si>
  <si>
    <t>;dveře 1pp;((1,03+2,12*2)*3+(1,03+2,12*2)+(0,92+2,12)+(1,0+2,12*2)+(1,3+2,12*2))*0,2</t>
  </si>
  <si>
    <t>;dveře 1np; ((1,0+3,09*2)+(1,32+2,7*2)+(1,33+2,1*2)+(1,02+2,07*2)+(1,27+2,72*2))*0,2</t>
  </si>
  <si>
    <t>13</t>
  </si>
  <si>
    <t>622904215R00</t>
  </si>
  <si>
    <t>Očištění organických nečiistot z fasád slož.3-5</t>
  </si>
  <si>
    <t>Sanace biologického napadení- členitost 1 (skladba A, skladba Z5.n-15% plochy) - nadsoklová část- viz,technická zpráva
Očištění od plísní, hub, mechů a řas. Nanesení odstraňovače, omytí povrchu tlakovou vodou s čističem
vnejsí ostení</t>
  </si>
  <si>
    <t>32,64+3,224+14,31+6,98+6,26</t>
  </si>
  <si>
    <t>14</t>
  </si>
  <si>
    <t>622904121R00</t>
  </si>
  <si>
    <t>Ruční čištění ocelovým kartáčem</t>
  </si>
  <si>
    <t>Příprava podkladů - mechanické očištění, mechanické odstranění starého fasádního nátěru,70% plochy - členitost 1 (skladba A, Z5.n)- nadsoklová část - viz. technická zpráva
Ostění vnější oken a dveří</t>
  </si>
  <si>
    <t>15</t>
  </si>
  <si>
    <t>622000005VD</t>
  </si>
  <si>
    <t>Zpevnění podkladů vodným roztokem alkalického křemičitanu - fixativ z čistého tekutátu silikátu draselného - členitost 1 (skladba A, skladba Z5.n) - n</t>
  </si>
  <si>
    <t>Ostění oken a dveří</t>
  </si>
  <si>
    <t>16</t>
  </si>
  <si>
    <t>622000010VD</t>
  </si>
  <si>
    <t>Finální omítková vrstva – štuková, renovační členitosti 1 - (skladba A - 55% plochy)- nadsoklová část - viz. technická zpráva</t>
  </si>
  <si>
    <t>Tenkovrstvá, renovační fasádní omítka na bázi vápna, bílého cementu s organickými přísadami a armovacími vlákny. Zrnitost 0-0,6 mm</t>
  </si>
  <si>
    <t>17</t>
  </si>
  <si>
    <t>622000017VD</t>
  </si>
  <si>
    <t>Finální povrchová úprava - sjednocení podkladů před finálními nátěry - jednosložkový silikátový podnátěr členitost 1 (skladba A)- nadsoklová část- viz</t>
  </si>
  <si>
    <t>18</t>
  </si>
  <si>
    <t>622000018VD</t>
  </si>
  <si>
    <t>Finální povrchová úprava – minerální sol-silikátový nátěr - členitost 1 (skladba A)- nadsoklová část- viz. technická zpráva</t>
  </si>
  <si>
    <t>19</t>
  </si>
  <si>
    <t>622422222R00</t>
  </si>
  <si>
    <t>Oprava vněj. omítek II,do 20%, štuk na 100% plochy</t>
  </si>
  <si>
    <t>20</t>
  </si>
  <si>
    <t>620991121R00</t>
  </si>
  <si>
    <t>Zakrývání výplní vnějších otvorů z lešení</t>
  </si>
  <si>
    <t>21</t>
  </si>
  <si>
    <t>622421131R00</t>
  </si>
  <si>
    <t>Omítka vnější stěn, MVC, hladká, složitost 1-2</t>
  </si>
  <si>
    <t>63</t>
  </si>
  <si>
    <t>Podlahy a podlahové konstrukce</t>
  </si>
  <si>
    <t>22</t>
  </si>
  <si>
    <t>632451024R00</t>
  </si>
  <si>
    <t>Vyrovnávací potěr MC 15, v pásu, tl. 50 mm</t>
  </si>
  <si>
    <t>63_</t>
  </si>
  <si>
    <t>;parapety; (8,45+10,47+1,84+40,56+17,82+2,9)*0,25</t>
  </si>
  <si>
    <t>64</t>
  </si>
  <si>
    <t>Výplně otvorů</t>
  </si>
  <si>
    <t>23</t>
  </si>
  <si>
    <t>648991113RT4</t>
  </si>
  <si>
    <t>Osazení parapet.desek plast. a lamin. š.nad 20cm</t>
  </si>
  <si>
    <t>64_</t>
  </si>
  <si>
    <t>včetně dodávky plastové parapetní desky š. 350 mm</t>
  </si>
  <si>
    <t>1,2+1,1+1,05*8+1,35*14+0,65*2+1,35+1,0+1,05+0,95*3+1,15*4</t>
  </si>
  <si>
    <t>0,95+0,95*2+1,35*2+1,05*2+0,95*2+1,35*6+1,55*2+0,95*3+1,55</t>
  </si>
  <si>
    <t>711</t>
  </si>
  <si>
    <t>Izolace proti vodě</t>
  </si>
  <si>
    <t>24</t>
  </si>
  <si>
    <t>711141559RZ1</t>
  </si>
  <si>
    <t>Provedení izolace proti vlhkosti na ploše vodorovné, asfaltovými pásy přitavením</t>
  </si>
  <si>
    <t>711_</t>
  </si>
  <si>
    <t>_71_</t>
  </si>
  <si>
    <t>1 vrstva - včetně dodávky asf. pásu</t>
  </si>
  <si>
    <t>;před zazděním dveří; 1,1*0,5</t>
  </si>
  <si>
    <t>764</t>
  </si>
  <si>
    <t>Konstrukce klempířské</t>
  </si>
  <si>
    <t>25</t>
  </si>
  <si>
    <t>764410850R00</t>
  </si>
  <si>
    <t>Demontáž oplechování parapetů,rš od 100 do 330 mm</t>
  </si>
  <si>
    <t>764_</t>
  </si>
  <si>
    <t>_76_</t>
  </si>
  <si>
    <t>;1.PP;1,08+0,9*9</t>
  </si>
  <si>
    <t>;1.NP,2.NP;10,72+17,82+3,6+4,66+2,9+19,1+6,4+1,65+2,21+1,84+1,56+0,4</t>
  </si>
  <si>
    <t>26</t>
  </si>
  <si>
    <t>764510220R00</t>
  </si>
  <si>
    <t>Oplechování parapetů včetně rohů z Cu, rš 160 mm</t>
  </si>
  <si>
    <t>K08, K09, K13 - zohlednit r.š.120 mm</t>
  </si>
  <si>
    <t>;K08,K09, K13; 6,4+1,7+0,4</t>
  </si>
  <si>
    <t>27</t>
  </si>
  <si>
    <t>764510230R00</t>
  </si>
  <si>
    <t>Oplechování parapetů včetně rohů z Cu, rš 200 mm</t>
  </si>
  <si>
    <t>K04,K05,K10 - zohlednit rš.160 mm</t>
  </si>
  <si>
    <t>;K04,K05; 3,6+4,66</t>
  </si>
  <si>
    <t>;K10; 2,4</t>
  </si>
  <si>
    <t>28</t>
  </si>
  <si>
    <t>764510240R00</t>
  </si>
  <si>
    <t>Oplechování parapetů včetně rohů z Cu, rš 250 mm</t>
  </si>
  <si>
    <t>;K11; 2,0</t>
  </si>
  <si>
    <t>29</t>
  </si>
  <si>
    <t>764510250R00</t>
  </si>
  <si>
    <t>Oplechování parapetů včetně rohů z Cu, rš 330 mm</t>
  </si>
  <si>
    <t>;K01,K02; 9,5+12,3</t>
  </si>
  <si>
    <t>;K07; 19,1</t>
  </si>
  <si>
    <t>;K12; 1,6</t>
  </si>
  <si>
    <t>30</t>
  </si>
  <si>
    <t>764510260R00</t>
  </si>
  <si>
    <t>Oplechování parapetů včetně rohů z Cu, rš 400 mm</t>
  </si>
  <si>
    <t>;K03; 18,0</t>
  </si>
  <si>
    <t>764510270R00</t>
  </si>
  <si>
    <t>Oplechování parapetů z měděného plechu oblých nebo ze segmentů, včetně rohů mechanicky kotvených rš 330 mm</t>
  </si>
  <si>
    <t>;K06; 2,9</t>
  </si>
  <si>
    <t>32</t>
  </si>
  <si>
    <t>998764102R00</t>
  </si>
  <si>
    <t>Přesun hmot pro klempířské konstr., výšky do 12 m</t>
  </si>
  <si>
    <t>t</t>
  </si>
  <si>
    <t>766</t>
  </si>
  <si>
    <t>Konstrukce truhlářské</t>
  </si>
  <si>
    <t>33</t>
  </si>
  <si>
    <t>766000037VD</t>
  </si>
  <si>
    <t>Dřevěné okno typu euro, trojsklo</t>
  </si>
  <si>
    <t>Vlastrní</t>
  </si>
  <si>
    <t>766_</t>
  </si>
  <si>
    <t>D+M</t>
  </si>
  <si>
    <t>;o101n;1,14*1,22</t>
  </si>
  <si>
    <t>;0102n; 0,96*1,22</t>
  </si>
  <si>
    <t>;0103n; 0,96*1,22*8</t>
  </si>
  <si>
    <t>;o201-203n; 1,28*2,22*14</t>
  </si>
  <si>
    <t>;o204n a o206n; 0,58*2,17*2</t>
  </si>
  <si>
    <t>;o205n; 1,27*2,17</t>
  </si>
  <si>
    <t>;2,07n atyp - ovál; 0,8*1,1</t>
  </si>
  <si>
    <t>;d2,02n; 0,96*1,77</t>
  </si>
  <si>
    <t>;d208n; 0,88*1,77*3</t>
  </si>
  <si>
    <t>;o209n a o210n; 1,08*2,17*4</t>
  </si>
  <si>
    <t>;o211n;0,9*1,77</t>
  </si>
  <si>
    <t>;o212n;0,9*1,79*2</t>
  </si>
  <si>
    <t>;o213n; 1,3*2,19*2</t>
  </si>
  <si>
    <t>;o214n a o216n; 1,0*1,52*2</t>
  </si>
  <si>
    <t>;o215n;0,88*1,57*2</t>
  </si>
  <si>
    <t>;o301n, 304, 305n; 1,28*2,12*6</t>
  </si>
  <si>
    <t>;o302n;1,48*2,12*2</t>
  </si>
  <si>
    <t>;o303 n a 306 n; 0,88*2,12*3</t>
  </si>
  <si>
    <t>;o307n; 1,48*3,07</t>
  </si>
  <si>
    <t>766000013VD</t>
  </si>
  <si>
    <t>Vchodové dveře, dřevěné, euro</t>
  </si>
  <si>
    <t>Vlastní</t>
  </si>
  <si>
    <t>D+M, dle výpisu PSV</t>
  </si>
  <si>
    <t>;d101n; 1,03*2,12*3</t>
  </si>
  <si>
    <t>;d102n; 1,03*2,12</t>
  </si>
  <si>
    <t>;d103n; 0,92*2,12</t>
  </si>
  <si>
    <t>;d104n; 1,0*2,12</t>
  </si>
  <si>
    <t>;d105n; 1,3*2,12</t>
  </si>
  <si>
    <t>;d201n; 1,0*3,09</t>
  </si>
  <si>
    <t>;d203n; 1,32*2,7</t>
  </si>
  <si>
    <t>;d204n; 1,33*2,1</t>
  </si>
  <si>
    <t>;d205n; 1,02*2,07</t>
  </si>
  <si>
    <t>;d206n; 1,27*2,72</t>
  </si>
  <si>
    <t>35</t>
  </si>
  <si>
    <t>786622211RT2</t>
  </si>
  <si>
    <t>Žaluzie horizontální vnitřní AL lamely bílé</t>
  </si>
  <si>
    <t>včetně dodávky žaluzie, dle výpisu prvků PSV</t>
  </si>
  <si>
    <t>1,0*1,2+0,9*1,2+0,9*1,2*8+1,2*2,1*14+0,55*2,05*2</t>
  </si>
  <si>
    <t>1,2*2,1+0,9*1,7+0,8*1,7*3+1,0*2,1*4+0,85*1,7+0,8*1,7*2+1,2*2,1*2</t>
  </si>
  <si>
    <t>0,8*1,5*2+1,2*2,1*6+1,4*2,1*2+0,8*2,1*3</t>
  </si>
  <si>
    <t>36</t>
  </si>
  <si>
    <t>766000153VD</t>
  </si>
  <si>
    <t>Sitě proti hmyzu do oken</t>
  </si>
  <si>
    <t>M2</t>
  </si>
  <si>
    <t xml:space="preserve"> D+M, SPECIFIKACE DLE VÝPISU PSV</t>
  </si>
  <si>
    <t>0,48*0,75*5</t>
  </si>
  <si>
    <t>0,65*1,35*(5+4+2)</t>
  </si>
  <si>
    <t>0,55*1,35*2+0,65*1,35*2+0,65*1,35*2+0,55*1,35*2</t>
  </si>
  <si>
    <t>37</t>
  </si>
  <si>
    <t>766601213RT2</t>
  </si>
  <si>
    <t>Těsnění okenní spáry, ostění, PT folie + PP folie</t>
  </si>
  <si>
    <t>PT folie šířky 100 mm; PP folie šířky 100 mm</t>
  </si>
  <si>
    <t>;okna; 1,14*2+1,22*2+0,96*2+1,22*2+(0,96*2+1,22*2)*8+(1,28*2+2,22*2)*14+(0,58*2+2,17*2)*2+1,27*2+2,17*2+0,8*2+1,1*2</t>
  </si>
  <si>
    <t>0,96*2+1,77*2+(0,88*2+1,77*2)*3+(1,08*2+2,17*2)*4+0,9*2+1,77*2+(0,88*2+1,77*2)*2+(1,28*2+2,17*2)*2</t>
  </si>
  <si>
    <t>1,0*4+1,52*4+0,88*4+1,57*4+1,28*12+2,12*12+1,48*4+2,12*4+0,88*6+2,12*6+1,48*2+3,07*2</t>
  </si>
  <si>
    <t>;dveře; 1,03*6+2,12*6+1,03*2+2,12*2+0,92*2+2,12*2+1,0*2+2,12*2+1,3*2+2,12*2+1,0*2+3,09*2+1,32*2+2,7*2+1,33*2+2,1*2</t>
  </si>
  <si>
    <t>1,02*2+2,07*2+2,72*2+1,27*2</t>
  </si>
  <si>
    <t>38</t>
  </si>
  <si>
    <t>766000187VD</t>
  </si>
  <si>
    <t>Úprava spáry na styku rám, okna s venkovní omítkou - proškrábnutí a vyčištění spáry, použití dřevěného omítníku tl.3mm. šířky cca 30mm, podrobněji viz</t>
  </si>
  <si>
    <t>(1+1,23+0,82+1,2+(1,2+0,82)*8+(0,8+0,55)*5)*2</t>
  </si>
  <si>
    <t>((1,26+2,2)*14+(0,56+2,15)*2+1,26+2,15+0,76+1,06+0,94+1,75+(0,86+1,75)*3+(1,06+2,15)*4+0,88+1,75+(0,86+1,75)*2+(1,26+2,15)*2)*2</t>
  </si>
  <si>
    <t>((1,255+2,1)*6+(1,46+2,1)*2+(0,86+2,1)*3+1,46+3,05)*2</t>
  </si>
  <si>
    <t>(0,85+2*2,0)*4+(0,8+2*2,0)*2+(1,15+2*2,0)+(1,25+2,7*2)*2+(0,94+3,02*2)+(1,25+2,03*2)+(1,0+2,05*2)</t>
  </si>
  <si>
    <t>((0,98+1,5)*2+(0,86+1,55)*2)*2</t>
  </si>
  <si>
    <t>39</t>
  </si>
  <si>
    <t>766000190VD</t>
  </si>
  <si>
    <t>Tmelení na styku venkovní omítky a rámu okna a dveří - PU tmel, hloubka spáry 5-10mm, šířka 3-5 mm</t>
  </si>
  <si>
    <t>414,24</t>
  </si>
  <si>
    <t>40</t>
  </si>
  <si>
    <t>766669116R00</t>
  </si>
  <si>
    <t>Dokování samozavírače na dřevěnou zárubeň</t>
  </si>
  <si>
    <t>41</t>
  </si>
  <si>
    <t>54917020</t>
  </si>
  <si>
    <t>Zavírač dveří hydraulický R 12 - 13 zlatá bronz</t>
  </si>
  <si>
    <t>42</t>
  </si>
  <si>
    <t>998766102R00</t>
  </si>
  <si>
    <t>Přesun hmot pro truhlářské konstr., výšky do 12 m</t>
  </si>
  <si>
    <t>781</t>
  </si>
  <si>
    <t>Obklady (keramické)</t>
  </si>
  <si>
    <t>43</t>
  </si>
  <si>
    <t>781101111R00</t>
  </si>
  <si>
    <t>Vyrovnání podkladu maltou ze SMS tl. do 7 mm</t>
  </si>
  <si>
    <t>781_</t>
  </si>
  <si>
    <t>_78_</t>
  </si>
  <si>
    <t>;doplnění keramického obkladu po vybourání oken;</t>
  </si>
  <si>
    <t>0,75*1,5-0,86*0,27+(0,27*2+0,86)*0,3+0,9*1,85-0,6*0,3+(0,3*2+0,86)*0,3+8</t>
  </si>
  <si>
    <t>0,75*1,68-0,86*0,3+(0,3*2+0,86)*0,3+0,6*1,045+0,6*1,05+0,75*1,6-0,86*0,2</t>
  </si>
  <si>
    <t>(0,2*2+0,86)*0,3+0,9*2,35-1,26*0,45+(0,45*2+1,26)*0,3</t>
  </si>
  <si>
    <t>44</t>
  </si>
  <si>
    <t>781101210RT1</t>
  </si>
  <si>
    <t>Penetrace podkladu pod obklady</t>
  </si>
  <si>
    <t>penetrační nátěr</t>
  </si>
  <si>
    <t>17,535</t>
  </si>
  <si>
    <t>45</t>
  </si>
  <si>
    <t>781415015R00</t>
  </si>
  <si>
    <t>Montáž obkladů stěn, porovin.,tmel, 20x20,30x15 cm</t>
  </si>
  <si>
    <t>17,53</t>
  </si>
  <si>
    <t>46</t>
  </si>
  <si>
    <t>597813600</t>
  </si>
  <si>
    <t>Obkládačka dle stávajících</t>
  </si>
  <si>
    <t>;ztratné 5%; 0,8765</t>
  </si>
  <si>
    <t>47</t>
  </si>
  <si>
    <t>781497121RS3</t>
  </si>
  <si>
    <t>Lišta hliníková rohová k obkladům</t>
  </si>
  <si>
    <t>profil RB, pro tloušťku obkladu 10 mm</t>
  </si>
  <si>
    <t>11,55</t>
  </si>
  <si>
    <t>48</t>
  </si>
  <si>
    <t>998781102R00</t>
  </si>
  <si>
    <t>Přesun hmot pro obklady keramické, výšky do 12 m</t>
  </si>
  <si>
    <t>782</t>
  </si>
  <si>
    <t>Obklady z přírodního a konglomerovaného kamene</t>
  </si>
  <si>
    <t>49</t>
  </si>
  <si>
    <t>782000001VD</t>
  </si>
  <si>
    <t>Obklad kamenem po výměně dveří za okno - d2.02 n</t>
  </si>
  <si>
    <t>782_</t>
  </si>
  <si>
    <t>Vč. materiálu</t>
  </si>
  <si>
    <t>0,3*1,4</t>
  </si>
  <si>
    <t>784</t>
  </si>
  <si>
    <t>Malby</t>
  </si>
  <si>
    <t>50</t>
  </si>
  <si>
    <t>784011222RT2</t>
  </si>
  <si>
    <t>Zakrytí podlah, včetně odstranění</t>
  </si>
  <si>
    <t>784_</t>
  </si>
  <si>
    <t>včetně papírové lepenky,
Zakrytí vnitřních ploch před znečištěním včetně pozdějšího odkrytí podlah fólií přilepenou lepící páskou</t>
  </si>
  <si>
    <t>;1.PP; 3*8*1,2</t>
  </si>
  <si>
    <t>;1.NP;247,83*1,2</t>
  </si>
  <si>
    <t>;2.NP;115,7*1,2</t>
  </si>
  <si>
    <t>51</t>
  </si>
  <si>
    <t>784011221RT2</t>
  </si>
  <si>
    <t>Zakrytí předmětů, včetně odstranění</t>
  </si>
  <si>
    <t>včetně dodávky fólie tl. 0,04 mm
Zakrytí vnitřních ploch před znečištěním včetně pozdějšího odkrytí konstrukcí a prvků obalením fólií a přelepením páskou
zakrytí radiátorů, světel, nábytku a dalšího zařízení bytu</t>
  </si>
  <si>
    <t>1000</t>
  </si>
  <si>
    <t>52</t>
  </si>
  <si>
    <t>784011211RT2</t>
  </si>
  <si>
    <t>Olepování vnitřních ploch</t>
  </si>
  <si>
    <t>včetně maskovací pásky šířky 30 mm
Zakrytí vnitřních ploch před znečištěním včetně pozdějšího odkrytí rámů oken a dveří, keramických soklů oblepením malířskou páskou</t>
  </si>
  <si>
    <t>450</t>
  </si>
  <si>
    <t>53</t>
  </si>
  <si>
    <t>784442001RT2</t>
  </si>
  <si>
    <t>Malba disperzní interiér.,výška do 3,8 m</t>
  </si>
  <si>
    <t>1barevná, 2x nátěr, 1x penetrace</t>
  </si>
  <si>
    <t>;vnitřní ostění; 90,45*1,15</t>
  </si>
  <si>
    <t>94</t>
  </si>
  <si>
    <t>Lešení a stavební výtahy</t>
  </si>
  <si>
    <t>54</t>
  </si>
  <si>
    <t>941955001R00</t>
  </si>
  <si>
    <t>Lešení lehké pomocné, výška podlahy do 1,2 m</t>
  </si>
  <si>
    <t>94_</t>
  </si>
  <si>
    <t>_9_</t>
  </si>
  <si>
    <t>;vnitřní při výměně oken; 183,55</t>
  </si>
  <si>
    <t>55</t>
  </si>
  <si>
    <t>946941102RT4</t>
  </si>
  <si>
    <t>Montáž pojízdných Alu věží , 2,5 x 1,45 m</t>
  </si>
  <si>
    <t>sada</t>
  </si>
  <si>
    <t>pracovní výška 10,2 m</t>
  </si>
  <si>
    <t>15,0</t>
  </si>
  <si>
    <t>56</t>
  </si>
  <si>
    <t>946941192RT4</t>
  </si>
  <si>
    <t>Nájemné pojízdných Alu věží , 2,5 x 1,45 m</t>
  </si>
  <si>
    <t>den</t>
  </si>
  <si>
    <t>90</t>
  </si>
  <si>
    <t>57</t>
  </si>
  <si>
    <t>946941802RT4</t>
  </si>
  <si>
    <t>Demontáž pojízdných Alu věží , 2,5 x 1,45 m</t>
  </si>
  <si>
    <t>pracovní výška 10,3 m</t>
  </si>
  <si>
    <t>95</t>
  </si>
  <si>
    <t>Různé dokončovací konstrukce a práce na pozemních stavbách</t>
  </si>
  <si>
    <t>58</t>
  </si>
  <si>
    <t>950000115VD</t>
  </si>
  <si>
    <t>Zakrývání podlah</t>
  </si>
  <si>
    <t>95_</t>
  </si>
  <si>
    <t>OSB tl. 10 mm + folie + látková podložka, Ochrana stavebních konstrukcí a samostatných prvků včetně pozdějšího odstranění obedněním z OSB desek podlahy
Celková zakrývaná plocha OSB deskami je 183,555m2 .Předpokládá se opakované použití OSB desek, dle časového harmonogramu výměny oken zhotovitele. V ceně zohlednit opakované použití OSB desek.</t>
  </si>
  <si>
    <t>;1.NP;2,46+1,74+(1,76+4,34+1,68+3,38+2,41+4,5+2,3+5,55+2,0+2,05+3,7+2,24+2,55+1,84+2,3+2,7+1,6+1,46+1,6)*1,25+1,84+1,21+4,32*1,25+2,22+(25,5+5*3)*1,25</t>
  </si>
  <si>
    <t>;2.NP;(4,68+2,19+2,8+3,79+1,85+2,75+2,59+1,43)*1,25+1,76+(11+5*2)*1,25</t>
  </si>
  <si>
    <t>59</t>
  </si>
  <si>
    <t>950000100VD</t>
  </si>
  <si>
    <t>Zakrytí podlah a dlažeb</t>
  </si>
  <si>
    <t>Ochrana stavebních konstrukcí a samostatných prvků včetně pozdějšího odstranění obalením geotextilií samostatných konstrukcí a prvků</t>
  </si>
  <si>
    <t>;1.PP;3*8</t>
  </si>
  <si>
    <t>;1.NP;247,83</t>
  </si>
  <si>
    <t>;2.NP;115,7</t>
  </si>
  <si>
    <t>60</t>
  </si>
  <si>
    <t>952901110R00</t>
  </si>
  <si>
    <t>Čištění mytím vnějších ploch oken a dveří</t>
  </si>
  <si>
    <t>;okna; 1,23*1+1,2*0,82+1,2*0,82*8+0,55*0,8*5+1,26*2,2*14+0,56*2,15*2+1,26*2,15+0,76*1,06+0,94*1,75+0,86*1,75*3+1,06*2,15*4+0,88*1,75</t>
  </si>
  <si>
    <t>0,86*1,75*2+1,26*2,15*2+0,98*1,5*2+0,86*1,55*2+1,255*2,1*6+1,46*2,1*2+0,86*2,1*3+1,46*3,05+1,435*0,58*3</t>
  </si>
  <si>
    <t>;dveře;  0,9*2,03*5+0,83*2,03+1,2*2+0,94*3,02+1,3*2,68+1,31*2,08+1*2,03+1,25*2,7</t>
  </si>
  <si>
    <t>952902110R00</t>
  </si>
  <si>
    <t>Zametání v místnostech, chodbách, na  schodišti a na půdách</t>
  </si>
  <si>
    <t>;1.PP; 35,84+3,05+8,83+17,21+41,16+3,66+13,87+4,47+18,86+8,77+16,97+10,10+23,4+2,03</t>
  </si>
  <si>
    <t>;1.NP; 11,93+5,68+1,74+13,09+20,14+18,9+9,48+27,88+2,46+5,92+2,3+2,22+8,96+3,3+1,29+3,88+10,43+6+18,73</t>
  </si>
  <si>
    <t>;1.NP;13,63+1,84+1,21+6,6+9,44+10,94+5,91+2,55+14,7+4,08+2,6</t>
  </si>
  <si>
    <t>;2.NP;15,55+13,77+26,54+2,94+1,76+14,16+7,23+3,61+6,57+4,42+19,15</t>
  </si>
  <si>
    <t>96</t>
  </si>
  <si>
    <t>Bourání konstrukcí</t>
  </si>
  <si>
    <t>967031732R00</t>
  </si>
  <si>
    <t>Přisekání plošné zdiva cihelného na MVC tl. 10 cm</t>
  </si>
  <si>
    <t>96_</t>
  </si>
  <si>
    <t>;okna 1pp;  (1,22*2+1,14+(1,22*2+0,96)*9+(0,62*2+0,82)+(0,62*2+0,92)*2+(0,62*2+0,77)+(0,62*2+0,87))*0,25</t>
  </si>
  <si>
    <t>968062354R00</t>
  </si>
  <si>
    <t>Vybourání dřevěných rámů oken dvojitých pl. 1 m2</t>
  </si>
  <si>
    <t>;okna 1pp; "1.PP"0,5*0,5*2+0,82*1,2*9</t>
  </si>
  <si>
    <t>;1np; 0,76*1</t>
  </si>
  <si>
    <t>968062355R00</t>
  </si>
  <si>
    <t>Vybourání dřevěných rámů oken dvojitých pl. 2 m2</t>
  </si>
  <si>
    <t>;1np; 0,8*1,75*2+0,82*1,7+1,1*1,6+0,86*1,55*2+0,98*1,5+0,86*1,75*3+0,5*2,1*2</t>
  </si>
  <si>
    <t>;2.NP; 0,8*2,05*3</t>
  </si>
  <si>
    <t>;dveře; 0,85*2,0*4+0,8*2,0*2+1,15*2</t>
  </si>
  <si>
    <t>65</t>
  </si>
  <si>
    <t>968062356R00</t>
  </si>
  <si>
    <t>Vybourání dřevěných rámů oken dvojitých pl. 4 m2</t>
  </si>
  <si>
    <t>;okan 1np; 1,2*2,1*17+1,1*1,6+0,86*1,55*2+0,98*1,5+0,86*1,75*3+0,76*1+0,5*2,1*2</t>
  </si>
  <si>
    <t>;2.NP;1,2*2,05*6+1,4*2,05*2+1,46*3,05</t>
  </si>
  <si>
    <t>;dveře;  0,9*3,02*2+1,25*2,7*2+1,25*2,03+1,0*2,05</t>
  </si>
  <si>
    <t>66</t>
  </si>
  <si>
    <t>965042121R00</t>
  </si>
  <si>
    <t>Bourání mazanin betonových tl. 10 cm, pl. 1 m2</t>
  </si>
  <si>
    <t>Bourání vyrovnávacích mazanin pod klempířskými prvky do tl.100mm</t>
  </si>
  <si>
    <t>;parapety; (8,45+10,47+1,84+40,56+17,82+2,9)*0,25*0,1</t>
  </si>
  <si>
    <t>67</t>
  </si>
  <si>
    <t>968095002R00</t>
  </si>
  <si>
    <t>Bourání parapetů dřevěných š. do 50 cm</t>
  </si>
  <si>
    <t>55*1,5</t>
  </si>
  <si>
    <t>68</t>
  </si>
  <si>
    <t>960000003VD</t>
  </si>
  <si>
    <t>Odtranění stáv. mříží</t>
  </si>
  <si>
    <t>97</t>
  </si>
  <si>
    <t>Prorážení otvorů a ostatní bourací práce</t>
  </si>
  <si>
    <t>69</t>
  </si>
  <si>
    <t>971033641R00</t>
  </si>
  <si>
    <t>Vybourání otv. zeď cihel. pl.4 m2, tl.30 cm, MVC</t>
  </si>
  <si>
    <t>97_</t>
  </si>
  <si>
    <t>;otvor ve zdivu pro okno 1.01.n; 1*1,2*0,3</t>
  </si>
  <si>
    <t>70</t>
  </si>
  <si>
    <t>978013191R00</t>
  </si>
  <si>
    <t>Otlučení omítek vnitřních stěn v rozsahu do 100 %</t>
  </si>
  <si>
    <t>;okna+dveře - ostění nadpraží; 0,4*((0,7+0,78*2)+0,65*3+2*(0,9+0,6*2)+(0,84+0,6*2))+0,6*(1,12+0,55*2+0,94+1,2*2)+0,6*((0,94+1,2*2)*4+(0,86+1,2*2)+(0,84+1,2*2)+(0,75+1,2*2)*2)</t>
  </si>
  <si>
    <t>;dveře; 0,33*(0,7+2*2)+0,23*(0,8+2*2)*2+0,25*(0,7+2*2)+0,7*(0,85+2,0*2)*4+0,7*(0,8+2,0*2)*2+0,7*(1,15+2,0*2)</t>
  </si>
  <si>
    <t>71</t>
  </si>
  <si>
    <t>978059521R00</t>
  </si>
  <si>
    <t>Odsekání vnitřních obkladů stěn do 2 m2</t>
  </si>
  <si>
    <t>odsekání keramického obkladu v části vybourání oken</t>
  </si>
  <si>
    <t>0,75*1,68-0,86*0,3+(0,3*2+0,86)*0,3+0,6*1,045+0,6*1,05+0,75*1,6-0,86*0,2+(0,2*2+0,86)*0,3+0,9*2,35-1,26*0,45+(0,45*2+1,26)*0,3</t>
  </si>
  <si>
    <t>0,75*1,5-0,86*0,27+(0,27*2+0,86)*0,3+0,9*1,85-0,6*0,3+(0,3*2+0,86)*0,3</t>
  </si>
  <si>
    <t>H99</t>
  </si>
  <si>
    <t>Ostatní přesuny hmot</t>
  </si>
  <si>
    <t>72</t>
  </si>
  <si>
    <t>999281111R00</t>
  </si>
  <si>
    <t>Přesun hmot pro opravy a údržbu do výšky 25 m</t>
  </si>
  <si>
    <t>H99_</t>
  </si>
  <si>
    <t>S</t>
  </si>
  <si>
    <t>Přesuny sutí</t>
  </si>
  <si>
    <t>73</t>
  </si>
  <si>
    <t>979011111R00</t>
  </si>
  <si>
    <t>Svislá doprava suti a vybour. hmot za 2.NP a 1.PP</t>
  </si>
  <si>
    <t>S_</t>
  </si>
  <si>
    <t>0,11+29,9+3,7</t>
  </si>
  <si>
    <t>74</t>
  </si>
  <si>
    <t>979011121R00</t>
  </si>
  <si>
    <t>Příplatek za každé další podlaží</t>
  </si>
  <si>
    <t>33,71/6</t>
  </si>
  <si>
    <t>75</t>
  </si>
  <si>
    <t>979081111R00</t>
  </si>
  <si>
    <t>Odvoz suti a vybour. hmot na skládku do 1 km</t>
  </si>
  <si>
    <t>33,71</t>
  </si>
  <si>
    <t>76</t>
  </si>
  <si>
    <t>979081121R00</t>
  </si>
  <si>
    <t>Příplatek k odvozu za každý další 1 km</t>
  </si>
  <si>
    <t>33,71*13</t>
  </si>
  <si>
    <t>77</t>
  </si>
  <si>
    <t>979082111R00</t>
  </si>
  <si>
    <t>Vnitrostaveništní doprava suti do 10 m</t>
  </si>
  <si>
    <t>78</t>
  </si>
  <si>
    <t>979082121R00</t>
  </si>
  <si>
    <t>Příplatek k vnitrost. dopravě suti za dalších 5 m</t>
  </si>
  <si>
    <t>33,71*3</t>
  </si>
  <si>
    <t>79</t>
  </si>
  <si>
    <t>979086112R00</t>
  </si>
  <si>
    <t>Nakládání nebo překládání suti a vybouraných hmot</t>
  </si>
  <si>
    <t>80</t>
  </si>
  <si>
    <t>979990162R00</t>
  </si>
  <si>
    <t>Poplatek za uložení suti - dřevo+sklo, skupina odpadu 170904</t>
  </si>
  <si>
    <t>0,06+2,13+5,37+1,24</t>
  </si>
  <si>
    <t>81</t>
  </si>
  <si>
    <t>979999997R00</t>
  </si>
  <si>
    <t>Poplatek za recyklaci směsi suti betonu, cihel, tašek a keram.výrobků, kusovost do 1600 cm2 (170107)</t>
  </si>
  <si>
    <t>33,71-8,91</t>
  </si>
  <si>
    <t>82</t>
  </si>
  <si>
    <t>979951111R00</t>
  </si>
  <si>
    <t>Výkup kovů - železný šrot tl. do 4 mm</t>
  </si>
  <si>
    <t>0,11</t>
  </si>
  <si>
    <t>VORN - Vedlejší a ostatní rozpočtové náklady</t>
  </si>
  <si>
    <t>01VRN</t>
  </si>
  <si>
    <t>83</t>
  </si>
  <si>
    <t>010001VRN</t>
  </si>
  <si>
    <t>Soubor</t>
  </si>
  <si>
    <t>99</t>
  </si>
  <si>
    <t>01VRN_</t>
  </si>
  <si>
    <t>_ _</t>
  </si>
  <si>
    <t>Dokumentace stavby-Dílenská a výrobní dokumentace v potřebném rozsahu - zámečnických, klempířských prvků, truhlářských, PD lešení včetně návrhu kotevního plánu na základě statického výpočtu</t>
  </si>
  <si>
    <t>84</t>
  </si>
  <si>
    <t>013002VRN</t>
  </si>
  <si>
    <t>Projektové práce</t>
  </si>
  <si>
    <t>Dokumentace skutečného provedení - Dokumentace skutečného provedení dle vyhlášky 499/2006, ve dvou listinných vyhotovení + 2x elektronické vyhotovení na CD</t>
  </si>
  <si>
    <t>03VRN</t>
  </si>
  <si>
    <t>85</t>
  </si>
  <si>
    <t>030001VRN</t>
  </si>
  <si>
    <t>03VRN_</t>
  </si>
  <si>
    <t xml:space="preserve">náklady na oplocení staveniště, označení staveniště, náklady na stavební buňky, náklady na mobilní WC, náklady na energie pro stavbu, náklady na vyčištění a vyklizení staveniště,
zajištění stavby pevnými zábranamy, zajištění vstupu na lešení, zajištění vstupu do objektu lávkami s dřevěným zábradlím dle požadavki KooBOZP,zapezpečení hlavních vstupů do objektu  z důvodů vyvěšení křídel a dodávky nových dveří, zhotovení ochranných záchytných stříšek lešení u hlavních vchodů do objektu,zabezpečení stavby proti zatečení dešťovými srážkami do objektu po celou dobu výstavby , 
</t>
  </si>
  <si>
    <t>05VRN</t>
  </si>
  <si>
    <t>86</t>
  </si>
  <si>
    <t>051002VRN</t>
  </si>
  <si>
    <t>Pojištění</t>
  </si>
  <si>
    <t>05VRN_</t>
  </si>
  <si>
    <t>Náklady spojené s pojištěním s pojištěním odpovědnosti za škodu, dle návrhu SOD</t>
  </si>
  <si>
    <t>87</t>
  </si>
  <si>
    <t>056002VRN</t>
  </si>
  <si>
    <t>Bankovní záruka</t>
  </si>
  <si>
    <t>Náklady spojené se zřízením bankovních záruk, dle návrhu SOD</t>
  </si>
  <si>
    <t>07VRN</t>
  </si>
  <si>
    <t>88</t>
  </si>
  <si>
    <t>071002VRN</t>
  </si>
  <si>
    <t>Provozní náklady investora a dalších osob</t>
  </si>
  <si>
    <t>07VRN_</t>
  </si>
  <si>
    <t xml:space="preserve">práce budou probíhat za provozu, mohou z toho vyplývat nějaká omezení - hlučnost, prašnost
přístup pracovníků na staveniště (půda, střecha, fasády) pouze po lešení
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</si>
</sst>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14">
    <font>
      <sz val="10"/>
      <name val="Arial"/>
      <family val="2"/>
    </font>
    <font>
      <sz val="11"/>
      <name val="Calibri"/>
      <family val="0"/>
    </font>
    <font>
      <sz val="18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b/>
      <sz val="18"/>
      <color rgb="FF000000"/>
      <name val="Arial"/>
      <family val="0"/>
    </font>
    <font>
      <b/>
      <sz val="20"/>
      <color rgb="FF000000"/>
      <name val="Arial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i/>
      <sz val="8"/>
      <color rgb="FF000000"/>
      <name val="Arial"/>
      <family val="0"/>
    </font>
    <font>
      <i/>
      <sz val="10"/>
      <color rgb="FF800000"/>
      <name val="Arial"/>
      <family val="0"/>
    </font>
    <font>
      <i/>
      <sz val="10"/>
      <color rgb="FF0000FF"/>
      <name val="Arial"/>
      <family val="0"/>
    </font>
    <font>
      <i/>
      <sz val="10"/>
      <color rgb="FF00000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09">
    <xf numFmtId="164" fontId="0" fillId="0" borderId="0" xfId="0" applyAlignment="1" applyProtection="1">
      <alignment/>
      <protection hidden="1"/>
    </xf>
    <xf numFmtId="164" fontId="1" fillId="0" borderId="0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horizontal="left" vertical="center" wrapText="1"/>
      <protection hidden="1"/>
    </xf>
    <xf numFmtId="164" fontId="4" fillId="0" borderId="2" xfId="0" applyFont="1" applyBorder="1" applyAlignment="1" applyProtection="1">
      <alignment horizontal="left" vertical="center" wrapText="1"/>
      <protection hidden="1"/>
    </xf>
    <xf numFmtId="164" fontId="3" fillId="0" borderId="2" xfId="0" applyFont="1" applyBorder="1" applyAlignment="1" applyProtection="1">
      <alignment horizontal="left" vertical="center" wrapText="1"/>
      <protection hidden="1"/>
    </xf>
    <xf numFmtId="164" fontId="3" fillId="0" borderId="3" xfId="0" applyFont="1" applyBorder="1" applyAlignment="1" applyProtection="1">
      <alignment horizontal="left" vertical="center"/>
      <protection hidden="1"/>
    </xf>
    <xf numFmtId="164" fontId="3" fillId="0" borderId="4" xfId="0" applyFont="1" applyBorder="1" applyAlignment="1" applyProtection="1">
      <alignment horizontal="left" vertical="center" wrapText="1"/>
      <protection hidden="1"/>
    </xf>
    <xf numFmtId="164" fontId="3" fillId="0" borderId="0" xfId="0" applyFont="1" applyBorder="1" applyAlignment="1" applyProtection="1">
      <alignment horizontal="left" vertical="center" wrapText="1"/>
      <protection hidden="1"/>
    </xf>
    <xf numFmtId="164" fontId="3" fillId="0" borderId="5" xfId="0" applyFont="1" applyBorder="1" applyAlignment="1" applyProtection="1">
      <alignment horizontal="left" vertical="center"/>
      <protection hidden="1"/>
    </xf>
    <xf numFmtId="164" fontId="3" fillId="0" borderId="0" xfId="0" applyFont="1" applyBorder="1" applyAlignment="1" applyProtection="1">
      <alignment horizontal="left" vertical="center"/>
      <protection hidden="1"/>
    </xf>
    <xf numFmtId="165" fontId="3" fillId="0" borderId="5" xfId="0" applyFont="1" applyBorder="1" applyAlignment="1" applyProtection="1">
      <alignment horizontal="left" vertical="center"/>
      <protection hidden="1"/>
    </xf>
    <xf numFmtId="164" fontId="3" fillId="0" borderId="6" xfId="0" applyFont="1" applyBorder="1" applyAlignment="1" applyProtection="1">
      <alignment horizontal="left" vertical="center" wrapText="1"/>
      <protection hidden="1"/>
    </xf>
    <xf numFmtId="164" fontId="3" fillId="0" borderId="7" xfId="0" applyFont="1" applyBorder="1" applyAlignment="1" applyProtection="1">
      <alignment horizontal="left" vertical="center" wrapText="1"/>
      <protection hidden="1"/>
    </xf>
    <xf numFmtId="164" fontId="3" fillId="0" borderId="7" xfId="0" applyFont="1" applyBorder="1" applyAlignment="1" applyProtection="1">
      <alignment horizontal="left" vertical="center"/>
      <protection hidden="1"/>
    </xf>
    <xf numFmtId="164" fontId="3" fillId="0" borderId="8" xfId="0" applyFont="1" applyBorder="1" applyAlignment="1" applyProtection="1">
      <alignment horizontal="left" vertical="center" wrapText="1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6" fillId="2" borderId="9" xfId="0" applyFont="1" applyBorder="1" applyAlignment="1" applyProtection="1">
      <alignment horizontal="center" vertical="center"/>
      <protection hidden="1"/>
    </xf>
    <xf numFmtId="164" fontId="7" fillId="0" borderId="10" xfId="0" applyFont="1" applyBorder="1" applyAlignment="1" applyProtection="1">
      <alignment horizontal="left" vertical="center"/>
      <protection hidden="1"/>
    </xf>
    <xf numFmtId="164" fontId="6" fillId="2" borderId="10" xfId="0" applyFont="1" applyBorder="1" applyAlignment="1" applyProtection="1">
      <alignment horizontal="center" vertical="center"/>
      <protection hidden="1"/>
    </xf>
    <xf numFmtId="164" fontId="8" fillId="0" borderId="11" xfId="0" applyFont="1" applyBorder="1" applyAlignment="1" applyProtection="1">
      <alignment horizontal="left" vertical="center"/>
      <protection hidden="1"/>
    </xf>
    <xf numFmtId="164" fontId="9" fillId="0" borderId="8" xfId="0" applyFont="1" applyBorder="1" applyAlignment="1" applyProtection="1">
      <alignment horizontal="left" vertical="center"/>
      <protection hidden="1"/>
    </xf>
    <xf numFmtId="166" fontId="9" fillId="0" borderId="8" xfId="0" applyFont="1" applyBorder="1" applyAlignment="1" applyProtection="1">
      <alignment horizontal="right" vertical="center"/>
      <protection hidden="1"/>
    </xf>
    <xf numFmtId="164" fontId="8" fillId="0" borderId="12" xfId="0" applyFont="1" applyBorder="1" applyAlignment="1" applyProtection="1">
      <alignment horizontal="left" vertical="center"/>
      <protection hidden="1"/>
    </xf>
    <xf numFmtId="164" fontId="9" fillId="0" borderId="8" xfId="0" applyFont="1" applyBorder="1" applyAlignment="1" applyProtection="1">
      <alignment horizontal="right" vertical="center"/>
      <protection hidden="1"/>
    </xf>
    <xf numFmtId="166" fontId="9" fillId="0" borderId="5" xfId="0" applyFont="1" applyBorder="1" applyAlignment="1" applyProtection="1">
      <alignment horizontal="right" vertical="center"/>
      <protection hidden="1"/>
    </xf>
    <xf numFmtId="164" fontId="9" fillId="0" borderId="5" xfId="0" applyFont="1" applyBorder="1" applyAlignment="1" applyProtection="1">
      <alignment horizontal="left" vertical="center"/>
      <protection hidden="1"/>
    </xf>
    <xf numFmtId="164" fontId="9" fillId="0" borderId="5" xfId="0" applyFont="1" applyBorder="1" applyAlignment="1" applyProtection="1">
      <alignment horizontal="right" vertical="center"/>
      <protection hidden="1"/>
    </xf>
    <xf numFmtId="164" fontId="8" fillId="0" borderId="9" xfId="0" applyFont="1" applyBorder="1" applyAlignment="1" applyProtection="1">
      <alignment horizontal="left" vertical="center"/>
      <protection hidden="1"/>
    </xf>
    <xf numFmtId="166" fontId="9" fillId="0" borderId="10" xfId="0" applyFont="1" applyBorder="1" applyAlignment="1" applyProtection="1">
      <alignment horizontal="right" vertical="center"/>
      <protection hidden="1"/>
    </xf>
    <xf numFmtId="164" fontId="8" fillId="0" borderId="10" xfId="0" applyFont="1" applyBorder="1" applyAlignment="1" applyProtection="1">
      <alignment horizontal="left" vertical="center"/>
      <protection hidden="1"/>
    </xf>
    <xf numFmtId="166" fontId="9" fillId="0" borderId="13" xfId="0" applyFont="1" applyBorder="1" applyAlignment="1" applyProtection="1">
      <alignment horizontal="right" vertical="center"/>
      <protection hidden="1"/>
    </xf>
    <xf numFmtId="164" fontId="8" fillId="0" borderId="8" xfId="0" applyFont="1" applyBorder="1" applyAlignment="1" applyProtection="1">
      <alignment horizontal="left" vertical="center"/>
      <protection hidden="1"/>
    </xf>
    <xf numFmtId="164" fontId="8" fillId="2" borderId="14" xfId="0" applyFont="1" applyBorder="1" applyAlignment="1" applyProtection="1">
      <alignment horizontal="left" vertical="center"/>
      <protection hidden="1"/>
    </xf>
    <xf numFmtId="166" fontId="8" fillId="2" borderId="10" xfId="0" applyFont="1" applyBorder="1" applyAlignment="1" applyProtection="1">
      <alignment horizontal="right" vertical="center"/>
      <protection hidden="1"/>
    </xf>
    <xf numFmtId="164" fontId="8" fillId="2" borderId="6" xfId="0" applyFont="1" applyBorder="1" applyAlignment="1" applyProtection="1">
      <alignment horizontal="left" vertical="center"/>
      <protection hidden="1"/>
    </xf>
    <xf numFmtId="166" fontId="8" fillId="2" borderId="8" xfId="0" applyFont="1" applyBorder="1" applyAlignment="1" applyProtection="1">
      <alignment horizontal="right" vertical="center"/>
      <protection hidden="1"/>
    </xf>
    <xf numFmtId="164" fontId="8" fillId="2" borderId="15" xfId="0" applyFont="1" applyBorder="1" applyAlignment="1" applyProtection="1">
      <alignment horizontal="left" vertical="center"/>
      <protection hidden="1"/>
    </xf>
    <xf numFmtId="164" fontId="8" fillId="2" borderId="7" xfId="0" applyFont="1" applyBorder="1" applyAlignment="1" applyProtection="1">
      <alignment horizontal="left" vertical="center"/>
      <protection hidden="1"/>
    </xf>
    <xf numFmtId="164" fontId="9" fillId="0" borderId="16" xfId="0" applyFont="1" applyBorder="1" applyAlignment="1" applyProtection="1">
      <alignment horizontal="left" vertical="center"/>
      <protection hidden="1"/>
    </xf>
    <xf numFmtId="164" fontId="9" fillId="0" borderId="17" xfId="0" applyFont="1" applyBorder="1" applyAlignment="1" applyProtection="1">
      <alignment horizontal="left" vertical="center"/>
      <protection hidden="1"/>
    </xf>
    <xf numFmtId="164" fontId="9" fillId="0" borderId="18" xfId="0" applyFont="1" applyBorder="1" applyAlignment="1" applyProtection="1">
      <alignment horizontal="left" vertical="center"/>
      <protection hidden="1"/>
    </xf>
    <xf numFmtId="164" fontId="9" fillId="0" borderId="19" xfId="0" applyFont="1" applyBorder="1" applyAlignment="1" applyProtection="1">
      <alignment horizontal="left" vertical="center"/>
      <protection hidden="1"/>
    </xf>
    <xf numFmtId="164" fontId="9" fillId="0" borderId="20" xfId="0" applyFont="1" applyBorder="1" applyAlignment="1" applyProtection="1">
      <alignment horizontal="left" vertical="center"/>
      <protection hidden="1"/>
    </xf>
    <xf numFmtId="164" fontId="9" fillId="0" borderId="21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4" fillId="0" borderId="22" xfId="0" applyFont="1" applyBorder="1" applyAlignment="1" applyProtection="1">
      <alignment horizontal="left" vertical="center"/>
      <protection hidden="1"/>
    </xf>
    <xf numFmtId="164" fontId="4" fillId="0" borderId="23" xfId="0" applyFont="1" applyBorder="1" applyAlignment="1" applyProtection="1">
      <alignment horizontal="right" vertical="center"/>
      <protection hidden="1"/>
    </xf>
    <xf numFmtId="164" fontId="3" fillId="0" borderId="12" xfId="0" applyFont="1" applyBorder="1" applyAlignment="1" applyProtection="1">
      <alignment horizontal="left" vertical="center"/>
      <protection hidden="1"/>
    </xf>
    <xf numFmtId="166" fontId="3" fillId="0" borderId="8" xfId="0" applyFont="1" applyBorder="1" applyAlignment="1" applyProtection="1">
      <alignment horizontal="right" vertical="center"/>
      <protection hidden="1"/>
    </xf>
    <xf numFmtId="164" fontId="3" fillId="0" borderId="8" xfId="0" applyFont="1" applyBorder="1" applyAlignment="1" applyProtection="1">
      <alignment horizontal="left" vertical="center"/>
      <protection hidden="1"/>
    </xf>
    <xf numFmtId="164" fontId="3" fillId="0" borderId="11" xfId="0" applyFont="1" applyBorder="1" applyAlignment="1" applyProtection="1">
      <alignment horizontal="left" vertical="center"/>
      <protection hidden="1"/>
    </xf>
    <xf numFmtId="166" fontId="3" fillId="0" borderId="5" xfId="0" applyFont="1" applyBorder="1" applyAlignment="1" applyProtection="1">
      <alignment horizontal="right" vertical="center"/>
      <protection hidden="1"/>
    </xf>
    <xf numFmtId="164" fontId="4" fillId="0" borderId="24" xfId="0" applyFont="1" applyBorder="1" applyAlignment="1" applyProtection="1">
      <alignment horizontal="left" vertical="center"/>
      <protection hidden="1"/>
    </xf>
    <xf numFmtId="164" fontId="4" fillId="0" borderId="25" xfId="0" applyFont="1" applyBorder="1" applyAlignment="1" applyProtection="1">
      <alignment horizontal="left" vertical="center"/>
      <protection hidden="1"/>
    </xf>
    <xf numFmtId="164" fontId="4" fillId="0" borderId="25" xfId="0" applyFont="1" applyBorder="1" applyAlignment="1" applyProtection="1">
      <alignment horizontal="right" vertical="center"/>
      <protection hidden="1"/>
    </xf>
    <xf numFmtId="166" fontId="4" fillId="0" borderId="25" xfId="0" applyFont="1" applyBorder="1" applyAlignment="1" applyProtection="1">
      <alignment horizontal="right" vertical="center"/>
      <protection hidden="1"/>
    </xf>
    <xf numFmtId="164" fontId="8" fillId="0" borderId="24" xfId="0" applyFont="1" applyBorder="1" applyAlignment="1" applyProtection="1">
      <alignment horizontal="left" vertical="center"/>
      <protection hidden="1"/>
    </xf>
    <xf numFmtId="166" fontId="8" fillId="0" borderId="25" xfId="0" applyFont="1" applyBorder="1" applyAlignment="1" applyProtection="1">
      <alignment horizontal="righ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6" fontId="4" fillId="2" borderId="0" xfId="0" applyFont="1" applyBorder="1" applyAlignment="1" applyProtection="1">
      <alignment horizontal="right" vertical="center"/>
      <protection hidden="1"/>
    </xf>
    <xf numFmtId="164" fontId="3" fillId="0" borderId="2" xfId="0" applyFont="1" applyBorder="1" applyAlignment="1" applyProtection="1">
      <alignment horizontal="left" vertical="center"/>
      <protection hidden="1"/>
    </xf>
    <xf numFmtId="164" fontId="3" fillId="0" borderId="5" xfId="0" applyFont="1" applyBorder="1" applyAlignment="1" applyProtection="1">
      <alignment horizontal="left" vertical="center" wrapText="1"/>
      <protection hidden="1"/>
    </xf>
    <xf numFmtId="164" fontId="4" fillId="0" borderId="26" xfId="0" applyFont="1" applyBorder="1" applyAlignment="1" applyProtection="1">
      <alignment horizontal="left" vertical="center"/>
      <protection hidden="1"/>
    </xf>
    <xf numFmtId="164" fontId="4" fillId="0" borderId="27" xfId="0" applyFont="1" applyBorder="1" applyAlignment="1" applyProtection="1">
      <alignment horizontal="left" vertical="center"/>
      <protection hidden="1"/>
    </xf>
    <xf numFmtId="164" fontId="4" fillId="0" borderId="27" xfId="0" applyFont="1" applyBorder="1" applyAlignment="1" applyProtection="1">
      <alignment horizontal="center" vertical="center"/>
      <protection hidden="1"/>
    </xf>
    <xf numFmtId="164" fontId="4" fillId="0" borderId="28" xfId="0" applyFont="1" applyBorder="1" applyAlignment="1" applyProtection="1">
      <alignment horizontal="center" vertical="center"/>
      <protection hidden="1"/>
    </xf>
    <xf numFmtId="164" fontId="4" fillId="0" borderId="16" xfId="0" applyFont="1" applyBorder="1" applyAlignment="1" applyProtection="1">
      <alignment horizontal="center" vertical="center"/>
      <protection hidden="1"/>
    </xf>
    <xf numFmtId="164" fontId="4" fillId="0" borderId="29" xfId="0" applyFont="1" applyBorder="1" applyAlignment="1" applyProtection="1">
      <alignment horizontal="center" vertical="center"/>
      <protection hidden="1"/>
    </xf>
    <xf numFmtId="164" fontId="4" fillId="0" borderId="30" xfId="0" applyFont="1" applyBorder="1" applyAlignment="1" applyProtection="1">
      <alignment horizontal="center" vertical="center"/>
      <protection hidden="1"/>
    </xf>
    <xf numFmtId="164" fontId="4" fillId="2" borderId="0" xfId="0" applyFont="1" applyBorder="1" applyAlignment="1" applyProtection="1">
      <alignment horizontal="right" vertical="center"/>
      <protection hidden="1"/>
    </xf>
    <xf numFmtId="164" fontId="4" fillId="0" borderId="0" xfId="0" applyFont="1" applyBorder="1" applyAlignment="1" applyProtection="1">
      <alignment horizontal="right" vertical="center"/>
      <protection hidden="1"/>
    </xf>
    <xf numFmtId="164" fontId="3" fillId="0" borderId="31" xfId="0" applyFont="1" applyBorder="1" applyAlignment="1" applyProtection="1">
      <alignment horizontal="left" vertical="center"/>
      <protection hidden="1"/>
    </xf>
    <xf numFmtId="164" fontId="3" fillId="0" borderId="13" xfId="0" applyFont="1" applyBorder="1" applyAlignment="1" applyProtection="1">
      <alignment horizontal="left" vertical="center"/>
      <protection hidden="1"/>
    </xf>
    <xf numFmtId="164" fontId="4" fillId="0" borderId="13" xfId="0" applyFont="1" applyBorder="1" applyAlignment="1" applyProtection="1">
      <alignment horizontal="left" vertical="center"/>
      <protection hidden="1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4" fillId="0" borderId="21" xfId="0" applyFont="1" applyBorder="1" applyAlignment="1" applyProtection="1">
      <alignment horizontal="center" vertical="center"/>
      <protection hidden="1"/>
    </xf>
    <xf numFmtId="164" fontId="4" fillId="0" borderId="32" xfId="0" applyFont="1" applyBorder="1" applyAlignment="1" applyProtection="1">
      <alignment horizontal="center" vertical="center"/>
      <protection hidden="1"/>
    </xf>
    <xf numFmtId="164" fontId="4" fillId="0" borderId="33" xfId="0" applyFont="1" applyBorder="1" applyAlignment="1" applyProtection="1">
      <alignment horizontal="center" vertical="center"/>
      <protection hidden="1"/>
    </xf>
    <xf numFmtId="164" fontId="3" fillId="3" borderId="4" xfId="0" applyFont="1" applyBorder="1" applyAlignment="1" applyProtection="1">
      <alignment horizontal="left" vertical="center"/>
      <protection hidden="1"/>
    </xf>
    <xf numFmtId="164" fontId="4" fillId="3" borderId="0" xfId="0" applyFont="1" applyBorder="1" applyAlignment="1" applyProtection="1">
      <alignment horizontal="left" vertical="center"/>
      <protection hidden="1"/>
    </xf>
    <xf numFmtId="164" fontId="4" fillId="3" borderId="0" xfId="0" applyFont="1" applyBorder="1" applyAlignment="1" applyProtection="1">
      <alignment horizontal="left" vertical="center" wrapText="1"/>
      <protection hidden="1"/>
    </xf>
    <xf numFmtId="164" fontId="3" fillId="3" borderId="0" xfId="0" applyFont="1" applyBorder="1" applyAlignment="1" applyProtection="1">
      <alignment horizontal="left" vertical="center"/>
      <protection hidden="1"/>
    </xf>
    <xf numFmtId="166" fontId="4" fillId="3" borderId="0" xfId="0" applyFont="1" applyBorder="1" applyAlignment="1" applyProtection="1">
      <alignment horizontal="right" vertical="center"/>
      <protection hidden="1"/>
    </xf>
    <xf numFmtId="164" fontId="4" fillId="3" borderId="0" xfId="0" applyFont="1" applyBorder="1" applyAlignment="1" applyProtection="1">
      <alignment horizontal="right" vertical="center"/>
      <protection hidden="1"/>
    </xf>
    <xf numFmtId="164" fontId="4" fillId="3" borderId="5" xfId="0" applyFont="1" applyBorder="1" applyAlignment="1" applyProtection="1">
      <alignment horizontal="right" vertical="center"/>
      <protection hidden="1"/>
    </xf>
    <xf numFmtId="164" fontId="3" fillId="2" borderId="4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horizontal="left" vertical="center" wrapText="1"/>
      <protection hidden="1"/>
    </xf>
    <xf numFmtId="164" fontId="3" fillId="2" borderId="0" xfId="0" applyFont="1" applyBorder="1" applyAlignment="1" applyProtection="1">
      <alignment horizontal="left" vertical="center"/>
      <protection hidden="1"/>
    </xf>
    <xf numFmtId="164" fontId="4" fillId="2" borderId="5" xfId="0" applyFont="1" applyBorder="1" applyAlignment="1" applyProtection="1">
      <alignment horizontal="right" vertical="center"/>
      <protection hidden="1"/>
    </xf>
    <xf numFmtId="164" fontId="3" fillId="0" borderId="4" xfId="0" applyFont="1" applyBorder="1" applyAlignment="1" applyProtection="1">
      <alignment horizontal="left" vertical="center"/>
      <protection hidden="1"/>
    </xf>
    <xf numFmtId="166" fontId="3" fillId="0" borderId="0" xfId="0" applyFont="1" applyBorder="1" applyAlignment="1" applyProtection="1">
      <alignment horizontal="right" vertical="center"/>
      <protection hidden="1"/>
    </xf>
    <xf numFmtId="164" fontId="3" fillId="0" borderId="5" xfId="0" applyFont="1" applyBorder="1" applyAlignment="1" applyProtection="1">
      <alignment horizontal="right" vertical="center"/>
      <protection hidden="1"/>
    </xf>
    <xf numFmtId="164" fontId="3" fillId="0" borderId="0" xfId="0" applyFont="1" applyBorder="1" applyAlignment="1" applyProtection="1">
      <alignment horizontal="right" vertical="center"/>
      <protection hidden="1"/>
    </xf>
    <xf numFmtId="164" fontId="1" fillId="0" borderId="4" xfId="0" applyFont="1" applyBorder="1" applyAlignment="1" applyProtection="1">
      <alignment/>
      <protection hidden="1"/>
    </xf>
    <xf numFmtId="164" fontId="11" fillId="0" borderId="5" xfId="0" applyFont="1" applyBorder="1" applyAlignment="1" applyProtection="1">
      <alignment horizontal="left" vertical="center" wrapText="1"/>
      <protection hidden="1"/>
    </xf>
    <xf numFmtId="164" fontId="12" fillId="0" borderId="0" xfId="0" applyFont="1" applyBorder="1" applyAlignment="1" applyProtection="1">
      <alignment horizontal="left" vertical="center"/>
      <protection hidden="1"/>
    </xf>
    <xf numFmtId="164" fontId="13" fillId="0" borderId="0" xfId="0" applyFont="1" applyBorder="1" applyAlignment="1" applyProtection="1">
      <alignment horizontal="left" vertical="center"/>
      <protection hidden="1"/>
    </xf>
    <xf numFmtId="166" fontId="12" fillId="0" borderId="0" xfId="0" applyFont="1" applyBorder="1" applyAlignment="1" applyProtection="1">
      <alignment horizontal="right" vertical="center"/>
      <protection hidden="1"/>
    </xf>
    <xf numFmtId="164" fontId="1" fillId="0" borderId="5" xfId="0" applyFont="1" applyBorder="1" applyAlignment="1" applyProtection="1">
      <alignment/>
      <protection hidden="1"/>
    </xf>
    <xf numFmtId="164" fontId="1" fillId="0" borderId="6" xfId="0" applyFont="1" applyBorder="1" applyAlignment="1" applyProtection="1">
      <alignment/>
      <protection hidden="1"/>
    </xf>
    <xf numFmtId="164" fontId="1" fillId="0" borderId="7" xfId="0" applyFont="1" applyBorder="1" applyAlignment="1" applyProtection="1">
      <alignment/>
      <protection hidden="1"/>
    </xf>
    <xf numFmtId="164" fontId="12" fillId="0" borderId="7" xfId="0" applyFont="1" applyBorder="1" applyAlignment="1" applyProtection="1">
      <alignment horizontal="left" vertical="center"/>
      <protection hidden="1"/>
    </xf>
    <xf numFmtId="164" fontId="13" fillId="0" borderId="7" xfId="0" applyFont="1" applyBorder="1" applyAlignment="1" applyProtection="1">
      <alignment horizontal="left" vertical="center"/>
      <protection hidden="1"/>
    </xf>
    <xf numFmtId="166" fontId="12" fillId="0" borderId="7" xfId="0" applyFont="1" applyBorder="1" applyAlignment="1" applyProtection="1">
      <alignment horizontal="right" vertical="center"/>
      <protection hidden="1"/>
    </xf>
    <xf numFmtId="164" fontId="1" fillId="0" borderId="8" xfId="0" applyFont="1" applyBorder="1" applyAlignment="1" applyProtection="1">
      <alignment/>
      <protection hidden="1"/>
    </xf>
    <xf numFmtId="166" fontId="4" fillId="0" borderId="0" xfId="0" applyFont="1" applyBorder="1" applyAlignment="1" applyProtection="1">
      <alignment horizontal="righ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</xdr:colOff>
      <xdr:row>0</xdr:row>
      <xdr:rowOff>666750</xdr:rowOff>
    </xdr:to>
    <xdr:pic>
      <xdr:nvPicPr>
        <xdr:cNvPr id="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I37"/>
  <sheetViews>
    <sheetView workbookViewId="0" topLeftCell="A1">
      <selection activeCell="A37" sqref="A37"/>
    </sheetView>
  </sheetViews>
  <sheetFormatPr defaultColWidth="12.140625" defaultRowHeight="12.75"/>
  <cols>
    <col min="1" max="1" width="9.140625" style="1" customWidth="1"/>
    <col min="2" max="2" width="12.8515625" style="1" customWidth="1"/>
    <col min="3" max="3" width="27.140625" style="1" customWidth="1"/>
    <col min="4" max="4" width="10.00390625" style="1" customWidth="1"/>
    <col min="5" max="5" width="14.00390625" style="1" customWidth="1"/>
    <col min="6" max="6" width="27.140625" style="1" customWidth="1"/>
    <col min="7" max="7" width="9.140625" style="1" customWidth="1"/>
    <col min="8" max="8" width="12.8515625" style="1" customWidth="1"/>
    <col min="9" max="9" width="27.140625" style="1" customWidth="1"/>
  </cols>
  <sheetData>
    <row r="1" spans="1:9" ht="5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1</v>
      </c>
      <c r="B2" s="3"/>
      <c r="C2" s="4" t="str">
        <f>'Stavební rozpočet'!C2</f>
        <v>Výměna otvorových prvků objektu ubytovny sester č.p. 506 - Odborný léčebný ústav Jevíčko</v>
      </c>
      <c r="D2" s="4"/>
      <c r="E2" s="5" t="s">
        <v>2</v>
      </c>
      <c r="F2" s="5" t="str">
        <f>'Stavební rozpočet'!I2</f>
        <v> </v>
      </c>
      <c r="G2" s="5"/>
      <c r="H2" s="5" t="s">
        <v>3</v>
      </c>
      <c r="I2" s="6"/>
    </row>
    <row r="3" spans="1:9" ht="25.5" customHeight="1">
      <c r="A3" s="3"/>
      <c r="B3" s="3"/>
      <c r="C3" s="4"/>
      <c r="D3" s="4"/>
      <c r="E3" s="5"/>
      <c r="F3" s="5"/>
      <c r="G3" s="5"/>
      <c r="H3" s="5"/>
      <c r="I3" s="6"/>
    </row>
    <row r="4" spans="1:9" ht="15" customHeight="1">
      <c r="A4" s="7" t="s">
        <v>4</v>
      </c>
      <c r="B4" s="7"/>
      <c r="C4" s="8" t="str">
        <f>'Stavební rozpočet'!C4</f>
        <v/>
      </c>
      <c r="D4" s="8"/>
      <c r="E4" s="8" t="s">
        <v>5</v>
      </c>
      <c r="F4" s="8" t="str">
        <f>'Stavební rozpočet'!I4</f>
        <v> </v>
      </c>
      <c r="G4" s="8"/>
      <c r="H4" s="8" t="s">
        <v>3</v>
      </c>
      <c r="I4" s="9"/>
    </row>
    <row r="5" spans="1:9" ht="15" customHeight="1">
      <c r="A5" s="7"/>
      <c r="B5" s="7"/>
      <c r="C5" s="8"/>
      <c r="D5" s="8"/>
      <c r="E5" s="8"/>
      <c r="F5" s="8"/>
      <c r="G5" s="8"/>
      <c r="H5" s="8"/>
      <c r="I5" s="9"/>
    </row>
    <row r="6" spans="1:9" ht="15" customHeight="1">
      <c r="A6" s="7" t="s">
        <v>6</v>
      </c>
      <c r="B6" s="7"/>
      <c r="C6" s="8" t="str">
        <f>'Stavební rozpočet'!C6</f>
        <v/>
      </c>
      <c r="D6" s="8"/>
      <c r="E6" s="8" t="s">
        <v>7</v>
      </c>
      <c r="F6" s="8" t="str">
        <f>'Stavební rozpočet'!I6</f>
        <v> </v>
      </c>
      <c r="G6" s="8"/>
      <c r="H6" s="8" t="s">
        <v>3</v>
      </c>
      <c r="I6" s="9"/>
    </row>
    <row r="7" spans="1:9" ht="15" customHeight="1">
      <c r="A7" s="7"/>
      <c r="B7" s="7"/>
      <c r="C7" s="8"/>
      <c r="D7" s="8"/>
      <c r="E7" s="8"/>
      <c r="F7" s="8"/>
      <c r="G7" s="8"/>
      <c r="H7" s="8"/>
      <c r="I7" s="9"/>
    </row>
    <row r="8" spans="1:9" ht="15" customHeight="1">
      <c r="A8" s="7" t="s">
        <v>8</v>
      </c>
      <c r="B8" s="7"/>
      <c r="C8" s="8" t="str">
        <f>'Stavební rozpočet'!G4</f>
        <v>21.03.2024</v>
      </c>
      <c r="D8" s="8"/>
      <c r="E8" s="8" t="s">
        <v>9</v>
      </c>
      <c r="F8" s="8" t="str">
        <f>'Stavební rozpočet'!G6</f>
        <v/>
      </c>
      <c r="G8" s="8"/>
      <c r="H8" s="10" t="s">
        <v>10</v>
      </c>
      <c r="I8" s="11">
        <v>88</v>
      </c>
    </row>
    <row r="9" spans="1:9" ht="15">
      <c r="A9" s="7"/>
      <c r="B9" s="7"/>
      <c r="C9" s="8"/>
      <c r="D9" s="8"/>
      <c r="E9" s="8"/>
      <c r="F9" s="8"/>
      <c r="G9" s="8"/>
      <c r="H9" s="10"/>
      <c r="I9" s="11"/>
    </row>
    <row r="10" spans="1:9" ht="15" customHeight="1">
      <c r="A10" s="12" t="s">
        <v>11</v>
      </c>
      <c r="B10" s="12"/>
      <c r="C10" s="13" t="str">
        <f>'Stavební rozpočet'!C8</f>
        <v/>
      </c>
      <c r="D10" s="13"/>
      <c r="E10" s="13" t="s">
        <v>12</v>
      </c>
      <c r="F10" s="13" t="str">
        <f>'Stavební rozpočet'!I8</f>
        <v>Martin Černý, DiS.</v>
      </c>
      <c r="G10" s="13"/>
      <c r="H10" s="14" t="s">
        <v>13</v>
      </c>
      <c r="I10" s="15" t="str">
        <f>'Stavební rozpočet'!G8</f>
        <v>21.03.2024</v>
      </c>
    </row>
    <row r="11" spans="1:9" ht="15">
      <c r="A11" s="12"/>
      <c r="B11" s="12"/>
      <c r="C11" s="13"/>
      <c r="D11" s="13"/>
      <c r="E11" s="13"/>
      <c r="F11" s="13"/>
      <c r="G11" s="13"/>
      <c r="H11" s="14"/>
      <c r="I11" s="15"/>
    </row>
    <row r="12" spans="1:9" ht="15">
      <c r="A12" s="16" t="s">
        <v>14</v>
      </c>
      <c r="B12" s="16"/>
      <c r="C12" s="16"/>
      <c r="D12" s="16"/>
      <c r="E12" s="16"/>
      <c r="F12" s="16"/>
      <c r="G12" s="16"/>
      <c r="H12" s="16"/>
      <c r="I12" s="16"/>
    </row>
    <row r="13" spans="1:9" ht="26.25" customHeight="1">
      <c r="A13" s="17" t="s">
        <v>15</v>
      </c>
      <c r="B13" s="18" t="s">
        <v>16</v>
      </c>
      <c r="C13" s="18"/>
      <c r="D13" s="19" t="s">
        <v>17</v>
      </c>
      <c r="E13" s="18" t="s">
        <v>18</v>
      </c>
      <c r="F13" s="18"/>
      <c r="G13" s="19" t="s">
        <v>19</v>
      </c>
      <c r="H13" s="18" t="s">
        <v>20</v>
      </c>
      <c r="I13" s="18"/>
    </row>
    <row r="14" spans="1:9" ht="15">
      <c r="A14" s="20" t="s">
        <v>21</v>
      </c>
      <c r="B14" s="21" t="s">
        <v>22</v>
      </c>
      <c r="C14" s="22">
        <f>SUM('Stavební rozpočet'!AB12:AB348)</f>
        <v>0</v>
      </c>
      <c r="D14" s="21" t="s">
        <v>23</v>
      </c>
      <c r="E14" s="21"/>
      <c r="F14" s="22">
        <f>VORN!I15</f>
        <v>0</v>
      </c>
      <c r="G14" s="21" t="s">
        <v>24</v>
      </c>
      <c r="H14" s="21"/>
      <c r="I14" s="22">
        <f>VORN!I21</f>
        <v>0</v>
      </c>
    </row>
    <row r="15" spans="1:9" ht="15">
      <c r="A15" s="23"/>
      <c r="B15" s="21" t="s">
        <v>25</v>
      </c>
      <c r="C15" s="22">
        <f>SUM('Stavební rozpočet'!AC12:AC348)</f>
        <v>0</v>
      </c>
      <c r="D15" s="21" t="s">
        <v>26</v>
      </c>
      <c r="E15" s="21"/>
      <c r="F15" s="22">
        <f>VORN!I16</f>
        <v>0</v>
      </c>
      <c r="G15" s="21" t="s">
        <v>27</v>
      </c>
      <c r="H15" s="21"/>
      <c r="I15" s="22">
        <f>VORN!I22</f>
        <v>0</v>
      </c>
    </row>
    <row r="16" spans="1:9" ht="15">
      <c r="A16" s="20" t="s">
        <v>28</v>
      </c>
      <c r="B16" s="21" t="s">
        <v>22</v>
      </c>
      <c r="C16" s="22">
        <f>SUM('Stavební rozpočet'!AD12:AD348)</f>
        <v>0</v>
      </c>
      <c r="D16" s="21" t="s">
        <v>29</v>
      </c>
      <c r="E16" s="21"/>
      <c r="F16" s="22">
        <f>VORN!I17</f>
        <v>0</v>
      </c>
      <c r="G16" s="21" t="s">
        <v>30</v>
      </c>
      <c r="H16" s="21"/>
      <c r="I16" s="22">
        <f>VORN!I23</f>
        <v>0</v>
      </c>
    </row>
    <row r="17" spans="1:9" ht="15">
      <c r="A17" s="23"/>
      <c r="B17" s="21" t="s">
        <v>25</v>
      </c>
      <c r="C17" s="22">
        <f>SUM('Stavební rozpočet'!AE12:AE348)</f>
        <v>0</v>
      </c>
      <c r="D17" s="21"/>
      <c r="E17" s="21"/>
      <c r="F17" s="24"/>
      <c r="G17" s="21" t="s">
        <v>31</v>
      </c>
      <c r="H17" s="21"/>
      <c r="I17" s="22">
        <f>VORN!I24</f>
        <v>0</v>
      </c>
    </row>
    <row r="18" spans="1:9" ht="15">
      <c r="A18" s="20" t="s">
        <v>32</v>
      </c>
      <c r="B18" s="21" t="s">
        <v>22</v>
      </c>
      <c r="C18" s="22">
        <f>SUM('Stavební rozpočet'!AF12:AF348)</f>
        <v>0</v>
      </c>
      <c r="D18" s="21"/>
      <c r="E18" s="21"/>
      <c r="F18" s="24"/>
      <c r="G18" s="21" t="s">
        <v>33</v>
      </c>
      <c r="H18" s="21"/>
      <c r="I18" s="22">
        <f>VORN!I25</f>
        <v>0</v>
      </c>
    </row>
    <row r="19" spans="1:9" ht="15">
      <c r="A19" s="23"/>
      <c r="B19" s="21" t="s">
        <v>25</v>
      </c>
      <c r="C19" s="22">
        <f>SUM('Stavební rozpočet'!AG12:AG348)</f>
        <v>0</v>
      </c>
      <c r="D19" s="21"/>
      <c r="E19" s="21"/>
      <c r="F19" s="24"/>
      <c r="G19" s="21" t="s">
        <v>34</v>
      </c>
      <c r="H19" s="21"/>
      <c r="I19" s="22">
        <f>VORN!I26</f>
        <v>0</v>
      </c>
    </row>
    <row r="20" spans="1:9" ht="15">
      <c r="A20" s="23" t="s">
        <v>35</v>
      </c>
      <c r="B20" s="23"/>
      <c r="C20" s="22">
        <f>SUM('Stavební rozpočet'!AH12:AH348)</f>
        <v>0</v>
      </c>
      <c r="D20" s="21"/>
      <c r="E20" s="21"/>
      <c r="F20" s="24"/>
      <c r="G20" s="21"/>
      <c r="H20" s="21"/>
      <c r="I20" s="24"/>
    </row>
    <row r="21" spans="1:9" ht="15">
      <c r="A21" s="20" t="s">
        <v>36</v>
      </c>
      <c r="B21" s="20"/>
      <c r="C21" s="25">
        <f>SUM('Stavební rozpočet'!Z12:Z348)</f>
        <v>0</v>
      </c>
      <c r="D21" s="26"/>
      <c r="E21" s="26"/>
      <c r="F21" s="27"/>
      <c r="G21" s="26"/>
      <c r="H21" s="26"/>
      <c r="I21" s="27"/>
    </row>
    <row r="22" spans="1:9" ht="16.5" customHeight="1">
      <c r="A22" s="28" t="s">
        <v>37</v>
      </c>
      <c r="B22" s="28"/>
      <c r="C22" s="29">
        <f>ROUND(SUM(C14:C21),0)</f>
        <v>0</v>
      </c>
      <c r="D22" s="30" t="s">
        <v>38</v>
      </c>
      <c r="E22" s="30"/>
      <c r="F22" s="29">
        <f>SUM(F14:F21)</f>
        <v>0</v>
      </c>
      <c r="G22" s="30" t="s">
        <v>39</v>
      </c>
      <c r="H22" s="30"/>
      <c r="I22" s="29">
        <f>SUM(I14:I21)</f>
        <v>0</v>
      </c>
    </row>
    <row r="23" spans="4:9" ht="15">
      <c r="D23" s="23" t="s">
        <v>40</v>
      </c>
      <c r="E23" s="23"/>
      <c r="F23" s="31">
        <v>0</v>
      </c>
      <c r="G23" s="32" t="s">
        <v>41</v>
      </c>
      <c r="H23" s="32"/>
      <c r="I23" s="22">
        <v>0</v>
      </c>
    </row>
    <row r="24" spans="7:9" ht="15">
      <c r="G24" s="23" t="s">
        <v>42</v>
      </c>
      <c r="H24" s="23"/>
      <c r="I24" s="25">
        <f>vorn_sum</f>
        <v>0</v>
      </c>
    </row>
    <row r="25" spans="7:9" ht="15">
      <c r="G25" s="23" t="s">
        <v>43</v>
      </c>
      <c r="H25" s="23"/>
      <c r="I25" s="29">
        <v>0</v>
      </c>
    </row>
    <row r="27" spans="1:3" ht="15">
      <c r="A27" s="33" t="s">
        <v>44</v>
      </c>
      <c r="B27" s="33"/>
      <c r="C27" s="34">
        <f>ROUND(SUM('Stavební rozpočet'!AJ12:AJ348),0)</f>
        <v>0</v>
      </c>
    </row>
    <row r="28" spans="1:9" ht="15">
      <c r="A28" s="35" t="s">
        <v>45</v>
      </c>
      <c r="B28" s="35"/>
      <c r="C28" s="36">
        <f>ROUND(SUM('Stavební rozpočet'!AK12:AK348),0)</f>
        <v>0</v>
      </c>
      <c r="D28" s="37" t="s">
        <v>46</v>
      </c>
      <c r="E28" s="37"/>
      <c r="F28" s="34">
        <f>ROUND(C28*(12/100),2)</f>
        <v>0</v>
      </c>
      <c r="G28" s="37" t="s">
        <v>47</v>
      </c>
      <c r="H28" s="37"/>
      <c r="I28" s="34">
        <f>ROUND(SUM(C27:C29),0)</f>
        <v>0</v>
      </c>
    </row>
    <row r="29" spans="1:9" ht="15">
      <c r="A29" s="35" t="s">
        <v>48</v>
      </c>
      <c r="B29" s="35"/>
      <c r="C29" s="36">
        <f>ROUND(SUM('Stavební rozpočet'!AL12:AL348),0)</f>
        <v>0</v>
      </c>
      <c r="D29" s="38" t="s">
        <v>49</v>
      </c>
      <c r="E29" s="38"/>
      <c r="F29" s="36">
        <f>ROUND(C29*(21/100),2)</f>
        <v>0</v>
      </c>
      <c r="G29" s="38" t="s">
        <v>50</v>
      </c>
      <c r="H29" s="38"/>
      <c r="I29" s="36">
        <f>ROUND(SUM(F28:F29)+I28,0)</f>
        <v>0</v>
      </c>
    </row>
    <row r="31" spans="1:9" ht="15">
      <c r="A31" s="39" t="s">
        <v>51</v>
      </c>
      <c r="B31" s="39"/>
      <c r="C31" s="39"/>
      <c r="D31" s="40" t="s">
        <v>52</v>
      </c>
      <c r="E31" s="40"/>
      <c r="F31" s="40"/>
      <c r="G31" s="40" t="s">
        <v>53</v>
      </c>
      <c r="H31" s="40"/>
      <c r="I31" s="40"/>
    </row>
    <row r="32" spans="1:9" ht="15">
      <c r="A32" s="41"/>
      <c r="B32" s="41"/>
      <c r="C32" s="41"/>
      <c r="D32" s="42"/>
      <c r="E32" s="42"/>
      <c r="F32" s="42"/>
      <c r="G32" s="42"/>
      <c r="H32" s="42"/>
      <c r="I32" s="42"/>
    </row>
    <row r="33" spans="1:9" ht="15">
      <c r="A33" s="41"/>
      <c r="B33" s="41"/>
      <c r="C33" s="41"/>
      <c r="D33" s="42"/>
      <c r="E33" s="42"/>
      <c r="F33" s="42"/>
      <c r="G33" s="42"/>
      <c r="H33" s="42"/>
      <c r="I33" s="42"/>
    </row>
    <row r="34" spans="1:9" ht="15">
      <c r="A34" s="41"/>
      <c r="B34" s="41"/>
      <c r="C34" s="41"/>
      <c r="D34" s="42"/>
      <c r="E34" s="42"/>
      <c r="F34" s="42"/>
      <c r="G34" s="42"/>
      <c r="H34" s="42"/>
      <c r="I34" s="42"/>
    </row>
    <row r="35" spans="1:9" ht="15">
      <c r="A35" s="43" t="s">
        <v>54</v>
      </c>
      <c r="B35" s="43"/>
      <c r="C35" s="43"/>
      <c r="D35" s="44" t="s">
        <v>54</v>
      </c>
      <c r="E35" s="44"/>
      <c r="F35" s="44"/>
      <c r="G35" s="44" t="s">
        <v>54</v>
      </c>
      <c r="H35" s="44"/>
      <c r="I35" s="44"/>
    </row>
    <row r="36" ht="15">
      <c r="A36" s="45" t="s">
        <v>55</v>
      </c>
    </row>
    <row r="37" spans="1:9" ht="13.5" customHeight="1">
      <c r="A37" s="8" t="s">
        <v>56</v>
      </c>
      <c r="B37" s="8"/>
      <c r="C37" s="8"/>
      <c r="D37" s="8"/>
      <c r="E37" s="8"/>
      <c r="F37" s="8"/>
      <c r="G37" s="8"/>
      <c r="H37" s="8"/>
      <c r="I37" s="8"/>
    </row>
  </sheetData>
  <mergeCells count="83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4:C34"/>
    <mergeCell ref="D34:F34"/>
    <mergeCell ref="G34:I34"/>
    <mergeCell ref="A35:C35"/>
    <mergeCell ref="D35:F35"/>
    <mergeCell ref="G35:I35"/>
    <mergeCell ref="A37:I37"/>
  </mergeCells>
  <printOptions/>
  <pageMargins left="0.39375" right="0.39375" top="0.590972222222222" bottom="0.590972222222222" header="0.511811023622047" footer="0.511811023622047"/>
  <pageSetup fitToHeight="1" fitToWidth="1" horizontalDpi="300" verticalDpi="300" orientation="portrait" copies="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I45"/>
  <sheetViews>
    <sheetView workbookViewId="0" topLeftCell="A1">
      <selection activeCell="A45" sqref="A45"/>
    </sheetView>
  </sheetViews>
  <sheetFormatPr defaultColWidth="12.14062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7.140625" style="1" customWidth="1"/>
    <col min="9" max="9" width="22.8515625" style="1" customWidth="1"/>
  </cols>
  <sheetData>
    <row r="1" spans="1:9" ht="54.75" customHeight="1">
      <c r="A1" s="2" t="s">
        <v>57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1</v>
      </c>
      <c r="B2" s="3"/>
      <c r="C2" s="4" t="str">
        <f>'Stavební rozpočet'!C2</f>
        <v>Výměna otvorových prvků objektu ubytovny sester č.p. 506 - Odborný léčebný ústav Jevíčko</v>
      </c>
      <c r="D2" s="4"/>
      <c r="E2" s="5" t="s">
        <v>2</v>
      </c>
      <c r="F2" s="5" t="str">
        <f>'Stavební rozpočet'!I2</f>
        <v> </v>
      </c>
      <c r="G2" s="5"/>
      <c r="H2" s="5" t="s">
        <v>3</v>
      </c>
      <c r="I2" s="6"/>
    </row>
    <row r="3" spans="1:9" ht="25.5" customHeight="1">
      <c r="A3" s="3"/>
      <c r="B3" s="3"/>
      <c r="C3" s="4"/>
      <c r="D3" s="4"/>
      <c r="E3" s="5"/>
      <c r="F3" s="5"/>
      <c r="G3" s="5"/>
      <c r="H3" s="5"/>
      <c r="I3" s="6"/>
    </row>
    <row r="4" spans="1:9" ht="15" customHeight="1">
      <c r="A4" s="7" t="s">
        <v>4</v>
      </c>
      <c r="B4" s="7"/>
      <c r="C4" s="8" t="str">
        <f>'Stavební rozpočet'!C4</f>
        <v/>
      </c>
      <c r="D4" s="8"/>
      <c r="E4" s="8" t="s">
        <v>5</v>
      </c>
      <c r="F4" s="8" t="str">
        <f>'Stavební rozpočet'!I4</f>
        <v> </v>
      </c>
      <c r="G4" s="8"/>
      <c r="H4" s="8" t="s">
        <v>3</v>
      </c>
      <c r="I4" s="9"/>
    </row>
    <row r="5" spans="1:9" ht="15" customHeight="1">
      <c r="A5" s="7"/>
      <c r="B5" s="7"/>
      <c r="C5" s="8"/>
      <c r="D5" s="8"/>
      <c r="E5" s="8"/>
      <c r="F5" s="8"/>
      <c r="G5" s="8"/>
      <c r="H5" s="8"/>
      <c r="I5" s="9"/>
    </row>
    <row r="6" spans="1:9" ht="15" customHeight="1">
      <c r="A6" s="7" t="s">
        <v>6</v>
      </c>
      <c r="B6" s="7"/>
      <c r="C6" s="8" t="str">
        <f>'Stavební rozpočet'!C6</f>
        <v/>
      </c>
      <c r="D6" s="8"/>
      <c r="E6" s="8" t="s">
        <v>7</v>
      </c>
      <c r="F6" s="8" t="str">
        <f>'Stavební rozpočet'!I6</f>
        <v> </v>
      </c>
      <c r="G6" s="8"/>
      <c r="H6" s="8" t="s">
        <v>3</v>
      </c>
      <c r="I6" s="9"/>
    </row>
    <row r="7" spans="1:9" ht="15" customHeight="1">
      <c r="A7" s="7"/>
      <c r="B7" s="7"/>
      <c r="C7" s="8"/>
      <c r="D7" s="8"/>
      <c r="E7" s="8"/>
      <c r="F7" s="8"/>
      <c r="G7" s="8"/>
      <c r="H7" s="8"/>
      <c r="I7" s="9"/>
    </row>
    <row r="8" spans="1:9" ht="15" customHeight="1">
      <c r="A8" s="7" t="s">
        <v>8</v>
      </c>
      <c r="B8" s="7"/>
      <c r="C8" s="8" t="str">
        <f>'Stavební rozpočet'!G4</f>
        <v>21.03.2024</v>
      </c>
      <c r="D8" s="8"/>
      <c r="E8" s="8" t="s">
        <v>9</v>
      </c>
      <c r="F8" s="8" t="str">
        <f>'Stavební rozpočet'!G6</f>
        <v/>
      </c>
      <c r="G8" s="8"/>
      <c r="H8" s="10" t="s">
        <v>10</v>
      </c>
      <c r="I8" s="11">
        <v>88</v>
      </c>
    </row>
    <row r="9" spans="1:9" ht="15">
      <c r="A9" s="7"/>
      <c r="B9" s="7"/>
      <c r="C9" s="8"/>
      <c r="D9" s="8"/>
      <c r="E9" s="8"/>
      <c r="F9" s="8"/>
      <c r="G9" s="8"/>
      <c r="H9" s="10"/>
      <c r="I9" s="11"/>
    </row>
    <row r="10" spans="1:9" ht="15" customHeight="1">
      <c r="A10" s="12" t="s">
        <v>11</v>
      </c>
      <c r="B10" s="12"/>
      <c r="C10" s="13" t="str">
        <f>'Stavební rozpočet'!C8</f>
        <v/>
      </c>
      <c r="D10" s="13"/>
      <c r="E10" s="13" t="s">
        <v>12</v>
      </c>
      <c r="F10" s="13" t="str">
        <f>'Stavební rozpočet'!I8</f>
        <v>Martin Černý, DiS.</v>
      </c>
      <c r="G10" s="13"/>
      <c r="H10" s="14" t="s">
        <v>13</v>
      </c>
      <c r="I10" s="15" t="str">
        <f>'Stavební rozpočet'!G8</f>
        <v>21.03.2024</v>
      </c>
    </row>
    <row r="11" spans="1:9" ht="15">
      <c r="A11" s="12"/>
      <c r="B11" s="12"/>
      <c r="C11" s="13"/>
      <c r="D11" s="13"/>
      <c r="E11" s="13"/>
      <c r="F11" s="13"/>
      <c r="G11" s="13"/>
      <c r="H11" s="14"/>
      <c r="I11" s="15"/>
    </row>
    <row r="13" spans="1:5" ht="15">
      <c r="A13" s="46" t="s">
        <v>58</v>
      </c>
      <c r="B13" s="46"/>
      <c r="C13" s="46"/>
      <c r="D13" s="46"/>
      <c r="E13" s="46"/>
    </row>
    <row r="14" spans="1:9" ht="15">
      <c r="A14" s="47" t="s">
        <v>59</v>
      </c>
      <c r="B14" s="47"/>
      <c r="C14" s="47"/>
      <c r="D14" s="47"/>
      <c r="E14" s="47"/>
      <c r="F14" s="48" t="s">
        <v>60</v>
      </c>
      <c r="G14" s="48" t="s">
        <v>61</v>
      </c>
      <c r="H14" s="48" t="s">
        <v>62</v>
      </c>
      <c r="I14" s="48" t="s">
        <v>60</v>
      </c>
    </row>
    <row r="15" spans="1:9" ht="15">
      <c r="A15" s="49" t="s">
        <v>23</v>
      </c>
      <c r="B15" s="49"/>
      <c r="C15" s="49"/>
      <c r="D15" s="49"/>
      <c r="E15" s="49"/>
      <c r="F15" s="50">
        <v>0</v>
      </c>
      <c r="G15" s="51"/>
      <c r="H15" s="51"/>
      <c r="I15" s="50">
        <f>F15</f>
        <v>0</v>
      </c>
    </row>
    <row r="16" spans="1:9" ht="15">
      <c r="A16" s="49" t="s">
        <v>26</v>
      </c>
      <c r="B16" s="49"/>
      <c r="C16" s="49"/>
      <c r="D16" s="49"/>
      <c r="E16" s="49"/>
      <c r="F16" s="50">
        <v>0</v>
      </c>
      <c r="G16" s="51"/>
      <c r="H16" s="51"/>
      <c r="I16" s="50">
        <f>F16</f>
        <v>0</v>
      </c>
    </row>
    <row r="17" spans="1:9" ht="15">
      <c r="A17" s="52" t="s">
        <v>29</v>
      </c>
      <c r="B17" s="52"/>
      <c r="C17" s="52"/>
      <c r="D17" s="52"/>
      <c r="E17" s="52"/>
      <c r="F17" s="53">
        <v>0</v>
      </c>
      <c r="G17" s="9"/>
      <c r="H17" s="9"/>
      <c r="I17" s="53">
        <f>F17</f>
        <v>0</v>
      </c>
    </row>
    <row r="18" spans="1:9" ht="15">
      <c r="A18" s="54" t="s">
        <v>63</v>
      </c>
      <c r="B18" s="54"/>
      <c r="C18" s="54"/>
      <c r="D18" s="54"/>
      <c r="E18" s="54"/>
      <c r="F18" s="55"/>
      <c r="G18" s="56"/>
      <c r="H18" s="56"/>
      <c r="I18" s="57">
        <f>SUM(I15:I17)</f>
        <v>0</v>
      </c>
    </row>
    <row r="20" spans="1:9" ht="15">
      <c r="A20" s="47" t="s">
        <v>20</v>
      </c>
      <c r="B20" s="47"/>
      <c r="C20" s="47"/>
      <c r="D20" s="47"/>
      <c r="E20" s="47"/>
      <c r="F20" s="48" t="s">
        <v>60</v>
      </c>
      <c r="G20" s="48" t="s">
        <v>61</v>
      </c>
      <c r="H20" s="48" t="s">
        <v>62</v>
      </c>
      <c r="I20" s="48" t="s">
        <v>60</v>
      </c>
    </row>
    <row r="21" spans="1:9" ht="15">
      <c r="A21" s="49" t="s">
        <v>24</v>
      </c>
      <c r="B21" s="49"/>
      <c r="C21" s="49"/>
      <c r="D21" s="49"/>
      <c r="E21" s="49"/>
      <c r="F21" s="50">
        <v>0</v>
      </c>
      <c r="G21" s="51"/>
      <c r="H21" s="51"/>
      <c r="I21" s="50">
        <f>F21</f>
        <v>0</v>
      </c>
    </row>
    <row r="22" spans="1:9" ht="15">
      <c r="A22" s="49" t="s">
        <v>27</v>
      </c>
      <c r="B22" s="49"/>
      <c r="C22" s="49"/>
      <c r="D22" s="49"/>
      <c r="E22" s="49"/>
      <c r="F22" s="50">
        <v>0</v>
      </c>
      <c r="G22" s="51"/>
      <c r="H22" s="51"/>
      <c r="I22" s="50">
        <f>F22</f>
        <v>0</v>
      </c>
    </row>
    <row r="23" spans="1:9" ht="15">
      <c r="A23" s="49" t="s">
        <v>30</v>
      </c>
      <c r="B23" s="49"/>
      <c r="C23" s="49"/>
      <c r="D23" s="49"/>
      <c r="E23" s="49"/>
      <c r="F23" s="50">
        <v>0</v>
      </c>
      <c r="G23" s="51"/>
      <c r="H23" s="51"/>
      <c r="I23" s="50">
        <f>F23</f>
        <v>0</v>
      </c>
    </row>
    <row r="24" spans="1:9" ht="15">
      <c r="A24" s="49" t="s">
        <v>31</v>
      </c>
      <c r="B24" s="49"/>
      <c r="C24" s="49"/>
      <c r="D24" s="49"/>
      <c r="E24" s="49"/>
      <c r="F24" s="50">
        <v>0</v>
      </c>
      <c r="G24" s="51"/>
      <c r="H24" s="51"/>
      <c r="I24" s="50">
        <f>F24</f>
        <v>0</v>
      </c>
    </row>
    <row r="25" spans="1:9" ht="15">
      <c r="A25" s="49" t="s">
        <v>33</v>
      </c>
      <c r="B25" s="49"/>
      <c r="C25" s="49"/>
      <c r="D25" s="49"/>
      <c r="E25" s="49"/>
      <c r="F25" s="50">
        <v>0</v>
      </c>
      <c r="G25" s="51"/>
      <c r="H25" s="51"/>
      <c r="I25" s="50">
        <f>F25</f>
        <v>0</v>
      </c>
    </row>
    <row r="26" spans="1:9" ht="15">
      <c r="A26" s="52" t="s">
        <v>34</v>
      </c>
      <c r="B26" s="52"/>
      <c r="C26" s="52"/>
      <c r="D26" s="52"/>
      <c r="E26" s="52"/>
      <c r="F26" s="53">
        <v>0</v>
      </c>
      <c r="G26" s="9"/>
      <c r="H26" s="9"/>
      <c r="I26" s="53">
        <f>F26</f>
        <v>0</v>
      </c>
    </row>
    <row r="27" spans="1:9" ht="15">
      <c r="A27" s="54" t="s">
        <v>64</v>
      </c>
      <c r="B27" s="54"/>
      <c r="C27" s="54"/>
      <c r="D27" s="54"/>
      <c r="E27" s="54"/>
      <c r="F27" s="55"/>
      <c r="G27" s="56"/>
      <c r="H27" s="56"/>
      <c r="I27" s="57">
        <f>SUM(I21:I26)</f>
        <v>0</v>
      </c>
    </row>
    <row r="29" spans="1:9" ht="15">
      <c r="A29" s="58" t="s">
        <v>65</v>
      </c>
      <c r="B29" s="58"/>
      <c r="C29" s="58"/>
      <c r="D29" s="58"/>
      <c r="E29" s="58"/>
      <c r="F29" s="59">
        <f>I18+I27</f>
        <v>0</v>
      </c>
      <c r="G29" s="59"/>
      <c r="H29" s="59"/>
      <c r="I29" s="59"/>
    </row>
    <row r="33" spans="1:5" ht="15">
      <c r="A33" s="46" t="s">
        <v>66</v>
      </c>
      <c r="B33" s="46"/>
      <c r="C33" s="46"/>
      <c r="D33" s="46"/>
      <c r="E33" s="46"/>
    </row>
    <row r="34" spans="1:9" ht="15">
      <c r="A34" s="47" t="s">
        <v>67</v>
      </c>
      <c r="B34" s="47"/>
      <c r="C34" s="47"/>
      <c r="D34" s="47"/>
      <c r="E34" s="47"/>
      <c r="F34" s="48" t="s">
        <v>60</v>
      </c>
      <c r="G34" s="48" t="s">
        <v>61</v>
      </c>
      <c r="H34" s="48" t="s">
        <v>62</v>
      </c>
      <c r="I34" s="48" t="s">
        <v>60</v>
      </c>
    </row>
    <row r="35" spans="1:9" ht="15">
      <c r="A35" s="49" t="s">
        <v>68</v>
      </c>
      <c r="B35" s="49"/>
      <c r="C35" s="49"/>
      <c r="D35" s="49"/>
      <c r="E35" s="49"/>
      <c r="F35" s="50">
        <f>SUM('Stavební rozpočet'!BM12:BM348)</f>
        <v>0</v>
      </c>
      <c r="G35" s="51"/>
      <c r="H35" s="51"/>
      <c r="I35" s="50">
        <f>F35</f>
        <v>0</v>
      </c>
    </row>
    <row r="36" spans="1:9" ht="15">
      <c r="A36" s="49" t="s">
        <v>69</v>
      </c>
      <c r="B36" s="49"/>
      <c r="C36" s="49"/>
      <c r="D36" s="49"/>
      <c r="E36" s="49"/>
      <c r="F36" s="50">
        <f>SUM('Stavební rozpočet'!BN12:BN348)</f>
        <v>0</v>
      </c>
      <c r="G36" s="51"/>
      <c r="H36" s="51"/>
      <c r="I36" s="50">
        <f>F36</f>
        <v>0</v>
      </c>
    </row>
    <row r="37" spans="1:9" ht="15">
      <c r="A37" s="49" t="s">
        <v>24</v>
      </c>
      <c r="B37" s="49"/>
      <c r="C37" s="49"/>
      <c r="D37" s="49"/>
      <c r="E37" s="49"/>
      <c r="F37" s="50">
        <f>SUM('Stavební rozpočet'!BO12:BO348)</f>
        <v>0</v>
      </c>
      <c r="G37" s="51"/>
      <c r="H37" s="51"/>
      <c r="I37" s="50">
        <f>F37</f>
        <v>0</v>
      </c>
    </row>
    <row r="38" spans="1:9" ht="15">
      <c r="A38" s="49" t="s">
        <v>70</v>
      </c>
      <c r="B38" s="49"/>
      <c r="C38" s="49"/>
      <c r="D38" s="49"/>
      <c r="E38" s="49"/>
      <c r="F38" s="50">
        <f>SUM('Stavební rozpočet'!BP12:BP348)</f>
        <v>0</v>
      </c>
      <c r="G38" s="51"/>
      <c r="H38" s="51"/>
      <c r="I38" s="50">
        <f>F38</f>
        <v>0</v>
      </c>
    </row>
    <row r="39" spans="1:9" ht="15">
      <c r="A39" s="49" t="s">
        <v>71</v>
      </c>
      <c r="B39" s="49"/>
      <c r="C39" s="49"/>
      <c r="D39" s="49"/>
      <c r="E39" s="49"/>
      <c r="F39" s="50">
        <f>SUM('Stavební rozpočet'!BQ12:BQ348)</f>
        <v>0</v>
      </c>
      <c r="G39" s="51"/>
      <c r="H39" s="51"/>
      <c r="I39" s="50">
        <f>F39</f>
        <v>0</v>
      </c>
    </row>
    <row r="40" spans="1:9" ht="15">
      <c r="A40" s="49" t="s">
        <v>30</v>
      </c>
      <c r="B40" s="49"/>
      <c r="C40" s="49"/>
      <c r="D40" s="49"/>
      <c r="E40" s="49"/>
      <c r="F40" s="50">
        <f>SUM('Stavební rozpočet'!BR12:BR348)</f>
        <v>0</v>
      </c>
      <c r="G40" s="51"/>
      <c r="H40" s="51"/>
      <c r="I40" s="50">
        <f>F40</f>
        <v>0</v>
      </c>
    </row>
    <row r="41" spans="1:9" ht="15">
      <c r="A41" s="49" t="s">
        <v>31</v>
      </c>
      <c r="B41" s="49"/>
      <c r="C41" s="49"/>
      <c r="D41" s="49"/>
      <c r="E41" s="49"/>
      <c r="F41" s="50">
        <f>SUM('Stavební rozpočet'!BS12:BS348)</f>
        <v>0</v>
      </c>
      <c r="G41" s="51"/>
      <c r="H41" s="51"/>
      <c r="I41" s="50">
        <f>F41</f>
        <v>0</v>
      </c>
    </row>
    <row r="42" spans="1:9" ht="15">
      <c r="A42" s="49" t="s">
        <v>72</v>
      </c>
      <c r="B42" s="49"/>
      <c r="C42" s="49"/>
      <c r="D42" s="49"/>
      <c r="E42" s="49"/>
      <c r="F42" s="50">
        <f>SUM('Stavební rozpočet'!BT12:BT348)</f>
        <v>0</v>
      </c>
      <c r="G42" s="51"/>
      <c r="H42" s="51"/>
      <c r="I42" s="50">
        <f>F42</f>
        <v>0</v>
      </c>
    </row>
    <row r="43" spans="1:9" ht="15">
      <c r="A43" s="49" t="s">
        <v>73</v>
      </c>
      <c r="B43" s="49"/>
      <c r="C43" s="49"/>
      <c r="D43" s="49"/>
      <c r="E43" s="49"/>
      <c r="F43" s="50">
        <f>SUM('Stavební rozpočet'!BU12:BU348)</f>
        <v>0</v>
      </c>
      <c r="G43" s="51"/>
      <c r="H43" s="51"/>
      <c r="I43" s="50">
        <f>F43</f>
        <v>0</v>
      </c>
    </row>
    <row r="44" spans="1:9" ht="15">
      <c r="A44" s="52" t="s">
        <v>74</v>
      </c>
      <c r="B44" s="52"/>
      <c r="C44" s="52"/>
      <c r="D44" s="52"/>
      <c r="E44" s="52"/>
      <c r="F44" s="53">
        <f>SUM('Stavební rozpočet'!BV12:BV348)</f>
        <v>0</v>
      </c>
      <c r="G44" s="9"/>
      <c r="H44" s="9"/>
      <c r="I44" s="53">
        <f>F44</f>
        <v>0</v>
      </c>
    </row>
    <row r="45" spans="1:9" ht="15">
      <c r="A45" s="54" t="s">
        <v>75</v>
      </c>
      <c r="B45" s="54"/>
      <c r="C45" s="54"/>
      <c r="D45" s="54"/>
      <c r="E45" s="54"/>
      <c r="F45" s="55"/>
      <c r="G45" s="56"/>
      <c r="H45" s="56"/>
      <c r="I45" s="57">
        <f>SUM(I35:I44)</f>
        <v>0</v>
      </c>
    </row>
  </sheetData>
  <mergeCells count="60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3:E13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27:E27"/>
    <mergeCell ref="A29:E29"/>
    <mergeCell ref="F29:I29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</mergeCells>
  <printOptions/>
  <pageMargins left="0.39375" right="0.39375" top="0.590972222222222" bottom="0.590972222222222" header="0.511811023622047" footer="0.511811023622047"/>
  <pageSetup fitToHeight="0" fitToWidth="1" horizontalDpi="300" verticalDpi="300" orientation="portrait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>
    <pageSetUpPr fitToPage="1"/>
  </sheetPr>
  <dimension ref="A1:BW351"/>
  <sheetViews>
    <sheetView tabSelected="1" workbookViewId="0" topLeftCell="A1">
      <pane ySplit="11" topLeftCell="A12" activePane="bottomLeft" state="frozen"/>
      <selection pane="topLeft" activeCell="A1" sqref="A1"/>
      <selection pane="bottomLeft" activeCell="A351" sqref="A351"/>
    </sheetView>
  </sheetViews>
  <sheetFormatPr defaultColWidth="12.140625" defaultRowHeight="12.75"/>
  <cols>
    <col min="1" max="1" width="4.00390625" style="1" customWidth="1"/>
    <col min="2" max="2" width="17.8515625" style="1" customWidth="1"/>
    <col min="3" max="3" width="42.8515625" style="1" customWidth="1"/>
    <col min="4" max="4" width="35.7109375" style="1" customWidth="1"/>
    <col min="5" max="5" width="6.7109375" style="1" customWidth="1"/>
    <col min="6" max="6" width="12.8515625" style="1" customWidth="1"/>
    <col min="7" max="7" width="12.00390625" style="1" customWidth="1"/>
    <col min="8" max="8" width="15.7109375" style="1" customWidth="1"/>
    <col min="9" max="10" width="11.7109375" style="1" customWidth="1"/>
    <col min="11" max="11" width="13.421875" style="1" customWidth="1"/>
    <col min="25" max="75" width="12.140625" style="1" hidden="1" customWidth="1"/>
  </cols>
  <sheetData>
    <row r="1" spans="1:47" ht="54.75" customHeight="1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AS1" s="61">
        <f>SUM(AJ1:AJ2)</f>
        <v>0</v>
      </c>
      <c r="AT1" s="61">
        <f>SUM(AK1:AK2)</f>
        <v>0</v>
      </c>
      <c r="AU1" s="61">
        <f>SUM(AL1:AL2)</f>
        <v>0</v>
      </c>
    </row>
    <row r="2" spans="1:11" ht="15" customHeight="1">
      <c r="A2" s="3" t="s">
        <v>1</v>
      </c>
      <c r="B2" s="3"/>
      <c r="C2" s="4" t="s">
        <v>77</v>
      </c>
      <c r="D2" s="4"/>
      <c r="E2" s="62" t="s">
        <v>78</v>
      </c>
      <c r="F2" s="62"/>
      <c r="G2" s="62" t="s">
        <v>79</v>
      </c>
      <c r="H2" s="5" t="s">
        <v>2</v>
      </c>
      <c r="I2" s="6" t="s">
        <v>80</v>
      </c>
      <c r="J2" s="6"/>
      <c r="K2" s="6"/>
    </row>
    <row r="3" spans="1:11" ht="15">
      <c r="A3" s="3"/>
      <c r="B3" s="3"/>
      <c r="C3" s="4"/>
      <c r="D3" s="4"/>
      <c r="E3" s="62"/>
      <c r="F3" s="62"/>
      <c r="G3" s="62"/>
      <c r="H3" s="62"/>
      <c r="I3" s="62"/>
      <c r="J3" s="6"/>
      <c r="K3" s="6"/>
    </row>
    <row r="4" spans="1:11" ht="15" customHeight="1">
      <c r="A4" s="7" t="s">
        <v>4</v>
      </c>
      <c r="B4" s="7"/>
      <c r="C4" s="8" t="s">
        <v>79</v>
      </c>
      <c r="D4" s="8"/>
      <c r="E4" s="10" t="s">
        <v>8</v>
      </c>
      <c r="F4" s="10"/>
      <c r="G4" s="10" t="s">
        <v>81</v>
      </c>
      <c r="H4" s="8" t="s">
        <v>5</v>
      </c>
      <c r="I4" s="9" t="s">
        <v>80</v>
      </c>
      <c r="J4" s="9"/>
      <c r="K4" s="9"/>
    </row>
    <row r="5" spans="1:11" ht="15">
      <c r="A5" s="7"/>
      <c r="B5" s="7"/>
      <c r="C5" s="8"/>
      <c r="D5" s="8"/>
      <c r="E5" s="10"/>
      <c r="F5" s="10"/>
      <c r="G5" s="10"/>
      <c r="H5" s="10"/>
      <c r="I5" s="10"/>
      <c r="J5" s="9"/>
      <c r="K5" s="9"/>
    </row>
    <row r="6" spans="1:11" ht="15" customHeight="1">
      <c r="A6" s="7" t="s">
        <v>6</v>
      </c>
      <c r="B6" s="7"/>
      <c r="C6" s="8" t="s">
        <v>79</v>
      </c>
      <c r="D6" s="8"/>
      <c r="E6" s="10" t="s">
        <v>9</v>
      </c>
      <c r="F6" s="10"/>
      <c r="G6" s="10" t="s">
        <v>79</v>
      </c>
      <c r="H6" s="8" t="s">
        <v>7</v>
      </c>
      <c r="I6" s="9" t="s">
        <v>80</v>
      </c>
      <c r="J6" s="9"/>
      <c r="K6" s="9"/>
    </row>
    <row r="7" spans="1:11" ht="15">
      <c r="A7" s="7"/>
      <c r="B7" s="7"/>
      <c r="C7" s="8"/>
      <c r="D7" s="8"/>
      <c r="E7" s="10"/>
      <c r="F7" s="10"/>
      <c r="G7" s="10"/>
      <c r="H7" s="10"/>
      <c r="I7" s="10"/>
      <c r="J7" s="9"/>
      <c r="K7" s="9"/>
    </row>
    <row r="8" spans="1:11" ht="15" customHeight="1">
      <c r="A8" s="7" t="s">
        <v>11</v>
      </c>
      <c r="B8" s="7"/>
      <c r="C8" s="8" t="s">
        <v>79</v>
      </c>
      <c r="D8" s="8"/>
      <c r="E8" s="10" t="s">
        <v>82</v>
      </c>
      <c r="F8" s="10"/>
      <c r="G8" s="10" t="s">
        <v>81</v>
      </c>
      <c r="H8" s="8" t="s">
        <v>12</v>
      </c>
      <c r="I8" s="63" t="s">
        <v>83</v>
      </c>
      <c r="J8" s="63"/>
      <c r="K8" s="63"/>
    </row>
    <row r="9" spans="1:11" ht="15">
      <c r="A9" s="7"/>
      <c r="B9" s="7"/>
      <c r="C9" s="8"/>
      <c r="D9" s="8"/>
      <c r="E9" s="10"/>
      <c r="F9" s="10"/>
      <c r="G9" s="10"/>
      <c r="H9" s="10"/>
      <c r="I9" s="10"/>
      <c r="J9" s="63"/>
      <c r="K9" s="63"/>
    </row>
    <row r="10" spans="1:75" ht="15">
      <c r="A10" s="64" t="s">
        <v>84</v>
      </c>
      <c r="B10" s="65" t="s">
        <v>85</v>
      </c>
      <c r="C10" s="65" t="s">
        <v>86</v>
      </c>
      <c r="D10" s="65"/>
      <c r="E10" s="65" t="s">
        <v>87</v>
      </c>
      <c r="F10" s="66" t="s">
        <v>88</v>
      </c>
      <c r="G10" s="67" t="s">
        <v>89</v>
      </c>
      <c r="H10" s="68" t="s">
        <v>90</v>
      </c>
      <c r="I10" s="69" t="s">
        <v>91</v>
      </c>
      <c r="J10" s="69"/>
      <c r="K10" s="70" t="s">
        <v>92</v>
      </c>
      <c r="BK10" s="71" t="s">
        <v>93</v>
      </c>
      <c r="BL10" s="72" t="s">
        <v>94</v>
      </c>
      <c r="BW10" s="72" t="s">
        <v>95</v>
      </c>
    </row>
    <row r="11" spans="1:62" ht="15">
      <c r="A11" s="73" t="s">
        <v>79</v>
      </c>
      <c r="B11" s="74" t="s">
        <v>79</v>
      </c>
      <c r="C11" s="75" t="s">
        <v>96</v>
      </c>
      <c r="D11" s="75"/>
      <c r="E11" s="74" t="s">
        <v>79</v>
      </c>
      <c r="F11" s="74" t="s">
        <v>79</v>
      </c>
      <c r="G11" s="76" t="s">
        <v>97</v>
      </c>
      <c r="H11" s="77" t="s">
        <v>98</v>
      </c>
      <c r="I11" s="76" t="s">
        <v>99</v>
      </c>
      <c r="J11" s="78" t="s">
        <v>98</v>
      </c>
      <c r="K11" s="79" t="s">
        <v>100</v>
      </c>
      <c r="Z11" s="71" t="s">
        <v>101</v>
      </c>
      <c r="AA11" s="71" t="s">
        <v>102</v>
      </c>
      <c r="AB11" s="71" t="s">
        <v>103</v>
      </c>
      <c r="AC11" s="71" t="s">
        <v>104</v>
      </c>
      <c r="AD11" s="71" t="s">
        <v>105</v>
      </c>
      <c r="AE11" s="71" t="s">
        <v>106</v>
      </c>
      <c r="AF11" s="71" t="s">
        <v>107</v>
      </c>
      <c r="AG11" s="71" t="s">
        <v>108</v>
      </c>
      <c r="AH11" s="71" t="s">
        <v>109</v>
      </c>
      <c r="BH11" s="71" t="s">
        <v>110</v>
      </c>
      <c r="BI11" s="71" t="s">
        <v>111</v>
      </c>
      <c r="BJ11" s="71" t="s">
        <v>112</v>
      </c>
    </row>
    <row r="12" spans="1:11" ht="15" customHeight="1">
      <c r="A12" s="80"/>
      <c r="B12" s="81"/>
      <c r="C12" s="82" t="s">
        <v>113</v>
      </c>
      <c r="D12" s="82"/>
      <c r="E12" s="83" t="s">
        <v>79</v>
      </c>
      <c r="F12" s="83" t="s">
        <v>79</v>
      </c>
      <c r="G12" s="83" t="s">
        <v>79</v>
      </c>
      <c r="H12" s="84">
        <f>H13+H20+H30+H64+H99+H102+H107+H111+H133+H199+H217+H221+H236+H248+H267+H293+H303+H305+H327+H334+H338+H345</f>
        <v>0</v>
      </c>
      <c r="I12" s="85"/>
      <c r="J12" s="84">
        <f>J13+J20+J30+J64+J99+J102+J107+J111+J133+J199+J217+J221+J236+J248+J267+J293+J303+J305+J327+J334+J338+J345</f>
        <v>86.958777328</v>
      </c>
      <c r="K12" s="86"/>
    </row>
    <row r="13" spans="1:47" ht="15" customHeight="1">
      <c r="A13" s="87"/>
      <c r="B13" s="88" t="s">
        <v>114</v>
      </c>
      <c r="C13" s="89" t="s">
        <v>115</v>
      </c>
      <c r="D13" s="89"/>
      <c r="E13" s="90" t="s">
        <v>79</v>
      </c>
      <c r="F13" s="90" t="s">
        <v>79</v>
      </c>
      <c r="G13" s="90" t="s">
        <v>79</v>
      </c>
      <c r="H13" s="61">
        <f>SUM(H14:H17)</f>
        <v>0</v>
      </c>
      <c r="I13" s="71"/>
      <c r="J13" s="61">
        <f>SUM(J14:J17)</f>
        <v>8.034002568</v>
      </c>
      <c r="K13" s="91"/>
      <c r="AI13" s="71"/>
      <c r="AS13" s="61">
        <f>SUM(AJ14:AJ17)</f>
        <v>0</v>
      </c>
      <c r="AT13" s="61">
        <f>SUM(AK14:AK17)</f>
        <v>0</v>
      </c>
      <c r="AU13" s="61">
        <f>SUM(AL14:AL17)</f>
        <v>0</v>
      </c>
    </row>
    <row r="14" spans="1:75" ht="13.5" customHeight="1">
      <c r="A14" s="92" t="s">
        <v>116</v>
      </c>
      <c r="B14" s="10" t="s">
        <v>117</v>
      </c>
      <c r="C14" s="8" t="s">
        <v>118</v>
      </c>
      <c r="D14" s="8"/>
      <c r="E14" s="10" t="s">
        <v>119</v>
      </c>
      <c r="F14" s="93">
        <v>4.185</v>
      </c>
      <c r="G14" s="93">
        <v>0</v>
      </c>
      <c r="H14" s="93">
        <f>F14*G14</f>
        <v>0</v>
      </c>
      <c r="I14" s="93">
        <v>1.62836</v>
      </c>
      <c r="J14" s="93">
        <f>F14*I14</f>
        <v>6.8146866</v>
      </c>
      <c r="K14" s="94" t="s">
        <v>120</v>
      </c>
      <c r="Z14" s="93">
        <f>IF(AQ14="5",BJ14,0)</f>
        <v>0</v>
      </c>
      <c r="AB14" s="93">
        <f>IF(AQ14="1",BH14,0)</f>
        <v>0</v>
      </c>
      <c r="AC14" s="93">
        <f>IF(AQ14="1",BI14,0)</f>
        <v>0</v>
      </c>
      <c r="AD14" s="93">
        <f>IF(AQ14="7",BH14,0)</f>
        <v>0</v>
      </c>
      <c r="AE14" s="93">
        <f>IF(AQ14="7",BI14,0)</f>
        <v>0</v>
      </c>
      <c r="AF14" s="93">
        <f>IF(AQ14="2",BH14,0)</f>
        <v>0</v>
      </c>
      <c r="AG14" s="93">
        <f>IF(AQ14="2",BI14,0)</f>
        <v>0</v>
      </c>
      <c r="AH14" s="93">
        <f>IF(AQ14="0",BJ14,0)</f>
        <v>0</v>
      </c>
      <c r="AI14" s="71"/>
      <c r="AJ14" s="93">
        <f>IF(AN14=0,H14,0)</f>
        <v>0</v>
      </c>
      <c r="AK14" s="93">
        <f>IF(AN14=12,H14,0)</f>
        <v>0</v>
      </c>
      <c r="AL14" s="93">
        <f>IF(AN14=21,H14,0)</f>
        <v>0</v>
      </c>
      <c r="AN14" s="93">
        <v>21</v>
      </c>
      <c r="AO14" s="93">
        <f>G14*0.722293598</f>
        <v>0</v>
      </c>
      <c r="AP14" s="93">
        <f>G14*(1-0.722293598)</f>
        <v>0</v>
      </c>
      <c r="AQ14" s="95" t="s">
        <v>116</v>
      </c>
      <c r="AV14" s="93">
        <f>AW14+AX14</f>
        <v>0</v>
      </c>
      <c r="AW14" s="93">
        <f>F14*AO14</f>
        <v>0</v>
      </c>
      <c r="AX14" s="93">
        <f>F14*AP14</f>
        <v>0</v>
      </c>
      <c r="AY14" s="95" t="s">
        <v>121</v>
      </c>
      <c r="AZ14" s="95" t="s">
        <v>122</v>
      </c>
      <c r="BA14" s="71" t="s">
        <v>123</v>
      </c>
      <c r="BC14" s="93">
        <f>AW14+AX14</f>
        <v>0</v>
      </c>
      <c r="BD14" s="93">
        <f>G14/(100-BE14)*100</f>
        <v>0</v>
      </c>
      <c r="BE14" s="93">
        <v>0</v>
      </c>
      <c r="BF14" s="93">
        <f>J14</f>
        <v>6.8146866</v>
      </c>
      <c r="BH14" s="93">
        <f>F14*AO14</f>
        <v>0</v>
      </c>
      <c r="BI14" s="93">
        <f>F14*AP14</f>
        <v>0</v>
      </c>
      <c r="BJ14" s="93">
        <f>F14*G14</f>
        <v>0</v>
      </c>
      <c r="BK14" s="93"/>
      <c r="BL14" s="93">
        <v>31</v>
      </c>
      <c r="BW14" s="93">
        <v>21</v>
      </c>
    </row>
    <row r="15" spans="1:11" ht="13.5" customHeight="1">
      <c r="A15" s="96"/>
      <c r="C15" s="97" t="s">
        <v>124</v>
      </c>
      <c r="D15" s="97"/>
      <c r="E15" s="97"/>
      <c r="F15" s="97"/>
      <c r="G15" s="97"/>
      <c r="H15" s="97"/>
      <c r="I15" s="97"/>
      <c r="J15" s="97"/>
      <c r="K15" s="97"/>
    </row>
    <row r="16" spans="1:11" ht="15">
      <c r="A16" s="96"/>
      <c r="C16" s="98" t="s">
        <v>125</v>
      </c>
      <c r="D16" s="99"/>
      <c r="F16" s="100">
        <v>4.185</v>
      </c>
      <c r="K16" s="101"/>
    </row>
    <row r="17" spans="1:75" ht="13.5" customHeight="1">
      <c r="A17" s="92" t="s">
        <v>126</v>
      </c>
      <c r="B17" s="10" t="s">
        <v>127</v>
      </c>
      <c r="C17" s="8" t="s">
        <v>128</v>
      </c>
      <c r="D17" s="8"/>
      <c r="E17" s="10" t="s">
        <v>119</v>
      </c>
      <c r="F17" s="93">
        <v>0.7488</v>
      </c>
      <c r="G17" s="93">
        <v>0</v>
      </c>
      <c r="H17" s="93">
        <f>F17*G17</f>
        <v>0</v>
      </c>
      <c r="I17" s="93">
        <v>1.62836</v>
      </c>
      <c r="J17" s="93">
        <f>F17*I17</f>
        <v>1.219315968</v>
      </c>
      <c r="K17" s="94" t="s">
        <v>120</v>
      </c>
      <c r="Z17" s="93">
        <f>IF(AQ17="5",BJ17,0)</f>
        <v>0</v>
      </c>
      <c r="AB17" s="93">
        <f>IF(AQ17="1",BH17,0)</f>
        <v>0</v>
      </c>
      <c r="AC17" s="93">
        <f>IF(AQ17="1",BI17,0)</f>
        <v>0</v>
      </c>
      <c r="AD17" s="93">
        <f>IF(AQ17="7",BH17,0)</f>
        <v>0</v>
      </c>
      <c r="AE17" s="93">
        <f>IF(AQ17="7",BI17,0)</f>
        <v>0</v>
      </c>
      <c r="AF17" s="93">
        <f>IF(AQ17="2",BH17,0)</f>
        <v>0</v>
      </c>
      <c r="AG17" s="93">
        <f>IF(AQ17="2",BI17,0)</f>
        <v>0</v>
      </c>
      <c r="AH17" s="93">
        <f>IF(AQ17="0",BJ17,0)</f>
        <v>0</v>
      </c>
      <c r="AI17" s="71"/>
      <c r="AJ17" s="93">
        <f>IF(AN17=0,H17,0)</f>
        <v>0</v>
      </c>
      <c r="AK17" s="93">
        <f>IF(AN17=12,H17,0)</f>
        <v>0</v>
      </c>
      <c r="AL17" s="93">
        <f>IF(AN17=21,H17,0)</f>
        <v>0</v>
      </c>
      <c r="AN17" s="93">
        <v>21</v>
      </c>
      <c r="AO17" s="93">
        <f>G17*0.752343161</f>
        <v>0</v>
      </c>
      <c r="AP17" s="93">
        <f>G17*(1-0.752343161)</f>
        <v>0</v>
      </c>
      <c r="AQ17" s="95" t="s">
        <v>116</v>
      </c>
      <c r="AV17" s="93">
        <f>AW17+AX17</f>
        <v>0</v>
      </c>
      <c r="AW17" s="93">
        <f>F17*AO17</f>
        <v>0</v>
      </c>
      <c r="AX17" s="93">
        <f>F17*AP17</f>
        <v>0</v>
      </c>
      <c r="AY17" s="95" t="s">
        <v>121</v>
      </c>
      <c r="AZ17" s="95" t="s">
        <v>122</v>
      </c>
      <c r="BA17" s="71" t="s">
        <v>123</v>
      </c>
      <c r="BC17" s="93">
        <f>AW17+AX17</f>
        <v>0</v>
      </c>
      <c r="BD17" s="93">
        <f>G17/(100-BE17)*100</f>
        <v>0</v>
      </c>
      <c r="BE17" s="93">
        <v>0</v>
      </c>
      <c r="BF17" s="93">
        <f>J17</f>
        <v>1.219315968</v>
      </c>
      <c r="BH17" s="93">
        <f>F17*AO17</f>
        <v>0</v>
      </c>
      <c r="BI17" s="93">
        <f>F17*AP17</f>
        <v>0</v>
      </c>
      <c r="BJ17" s="93">
        <f>F17*G17</f>
        <v>0</v>
      </c>
      <c r="BK17" s="93"/>
      <c r="BL17" s="93">
        <v>31</v>
      </c>
      <c r="BW17" s="93">
        <v>21</v>
      </c>
    </row>
    <row r="18" spans="1:11" ht="13.5" customHeight="1">
      <c r="A18" s="96"/>
      <c r="C18" s="97" t="s">
        <v>124</v>
      </c>
      <c r="D18" s="97"/>
      <c r="E18" s="97"/>
      <c r="F18" s="97"/>
      <c r="G18" s="97"/>
      <c r="H18" s="97"/>
      <c r="I18" s="97"/>
      <c r="J18" s="97"/>
      <c r="K18" s="97"/>
    </row>
    <row r="19" spans="1:11" ht="15">
      <c r="A19" s="96"/>
      <c r="C19" s="98" t="s">
        <v>129</v>
      </c>
      <c r="D19" s="99"/>
      <c r="F19" s="100">
        <v>0.7488</v>
      </c>
      <c r="K19" s="101"/>
    </row>
    <row r="20" spans="1:47" ht="15" customHeight="1">
      <c r="A20" s="87"/>
      <c r="B20" s="88" t="s">
        <v>130</v>
      </c>
      <c r="C20" s="89" t="s">
        <v>131</v>
      </c>
      <c r="D20" s="89"/>
      <c r="E20" s="90" t="s">
        <v>79</v>
      </c>
      <c r="F20" s="90" t="s">
        <v>79</v>
      </c>
      <c r="G20" s="90" t="s">
        <v>79</v>
      </c>
      <c r="H20" s="61">
        <f>SUM(H21:H27)</f>
        <v>0</v>
      </c>
      <c r="I20" s="71"/>
      <c r="J20" s="61">
        <f>SUM(J21:J27)</f>
        <v>27.6210316</v>
      </c>
      <c r="K20" s="91"/>
      <c r="AI20" s="71"/>
      <c r="AS20" s="61">
        <f>SUM(AJ21:AJ27)</f>
        <v>0</v>
      </c>
      <c r="AT20" s="61">
        <f>SUM(AK21:AK27)</f>
        <v>0</v>
      </c>
      <c r="AU20" s="61">
        <f>SUM(AL21:AL27)</f>
        <v>0</v>
      </c>
    </row>
    <row r="21" spans="1:75" ht="13.5" customHeight="1">
      <c r="A21" s="92" t="s">
        <v>132</v>
      </c>
      <c r="B21" s="10" t="s">
        <v>133</v>
      </c>
      <c r="C21" s="8" t="s">
        <v>134</v>
      </c>
      <c r="D21" s="8"/>
      <c r="E21" s="10" t="s">
        <v>135</v>
      </c>
      <c r="F21" s="93">
        <v>15</v>
      </c>
      <c r="G21" s="93">
        <v>0</v>
      </c>
      <c r="H21" s="93">
        <f>F21*G21</f>
        <v>0</v>
      </c>
      <c r="I21" s="93">
        <v>0.11765</v>
      </c>
      <c r="J21" s="93">
        <f>F21*I21</f>
        <v>1.76475</v>
      </c>
      <c r="K21" s="94" t="s">
        <v>120</v>
      </c>
      <c r="Z21" s="93">
        <f>IF(AQ21="5",BJ21,0)</f>
        <v>0</v>
      </c>
      <c r="AB21" s="93">
        <f>IF(AQ21="1",BH21,0)</f>
        <v>0</v>
      </c>
      <c r="AC21" s="93">
        <f>IF(AQ21="1",BI21,0)</f>
        <v>0</v>
      </c>
      <c r="AD21" s="93">
        <f>IF(AQ21="7",BH21,0)</f>
        <v>0</v>
      </c>
      <c r="AE21" s="93">
        <f>IF(AQ21="7",BI21,0)</f>
        <v>0</v>
      </c>
      <c r="AF21" s="93">
        <f>IF(AQ21="2",BH21,0)</f>
        <v>0</v>
      </c>
      <c r="AG21" s="93">
        <f>IF(AQ21="2",BI21,0)</f>
        <v>0</v>
      </c>
      <c r="AH21" s="93">
        <f>IF(AQ21="0",BJ21,0)</f>
        <v>0</v>
      </c>
      <c r="AI21" s="71"/>
      <c r="AJ21" s="93">
        <f>IF(AN21=0,H21,0)</f>
        <v>0</v>
      </c>
      <c r="AK21" s="93">
        <f>IF(AN21=12,H21,0)</f>
        <v>0</v>
      </c>
      <c r="AL21" s="93">
        <f>IF(AN21=21,H21,0)</f>
        <v>0</v>
      </c>
      <c r="AN21" s="93">
        <v>21</v>
      </c>
      <c r="AO21" s="93">
        <f>G21*0.489023605</f>
        <v>0</v>
      </c>
      <c r="AP21" s="93">
        <f>G21*(1-0.489023605)</f>
        <v>0</v>
      </c>
      <c r="AQ21" s="95" t="s">
        <v>116</v>
      </c>
      <c r="AV21" s="93">
        <f>AW21+AX21</f>
        <v>0</v>
      </c>
      <c r="AW21" s="93">
        <f>F21*AO21</f>
        <v>0</v>
      </c>
      <c r="AX21" s="93">
        <f>F21*AP21</f>
        <v>0</v>
      </c>
      <c r="AY21" s="95" t="s">
        <v>136</v>
      </c>
      <c r="AZ21" s="95" t="s">
        <v>122</v>
      </c>
      <c r="BA21" s="71" t="s">
        <v>123</v>
      </c>
      <c r="BC21" s="93">
        <f>AW21+AX21</f>
        <v>0</v>
      </c>
      <c r="BD21" s="93">
        <f>G21/(100-BE21)*100</f>
        <v>0</v>
      </c>
      <c r="BE21" s="93">
        <v>0</v>
      </c>
      <c r="BF21" s="93">
        <f>J21</f>
        <v>1.76475</v>
      </c>
      <c r="BH21" s="93">
        <f>F21*AO21</f>
        <v>0</v>
      </c>
      <c r="BI21" s="93">
        <f>F21*AP21</f>
        <v>0</v>
      </c>
      <c r="BJ21" s="93">
        <f>F21*G21</f>
        <v>0</v>
      </c>
      <c r="BK21" s="93"/>
      <c r="BL21" s="93">
        <v>34</v>
      </c>
      <c r="BW21" s="93">
        <v>21</v>
      </c>
    </row>
    <row r="22" spans="1:11" ht="13.5" customHeight="1">
      <c r="A22" s="96"/>
      <c r="C22" s="97" t="s">
        <v>124</v>
      </c>
      <c r="D22" s="97"/>
      <c r="E22" s="97"/>
      <c r="F22" s="97"/>
      <c r="G22" s="97"/>
      <c r="H22" s="97"/>
      <c r="I22" s="97"/>
      <c r="J22" s="97"/>
      <c r="K22" s="97"/>
    </row>
    <row r="23" spans="1:11" ht="15">
      <c r="A23" s="96"/>
      <c r="C23" s="98" t="s">
        <v>137</v>
      </c>
      <c r="D23" s="99"/>
      <c r="F23" s="100">
        <v>15</v>
      </c>
      <c r="K23" s="101"/>
    </row>
    <row r="24" spans="1:75" ht="13.5" customHeight="1">
      <c r="A24" s="92" t="s">
        <v>138</v>
      </c>
      <c r="B24" s="10" t="s">
        <v>139</v>
      </c>
      <c r="C24" s="8" t="s">
        <v>140</v>
      </c>
      <c r="D24" s="8"/>
      <c r="E24" s="10" t="s">
        <v>135</v>
      </c>
      <c r="F24" s="93">
        <v>69.44</v>
      </c>
      <c r="G24" s="93">
        <v>0</v>
      </c>
      <c r="H24" s="93">
        <f>F24*G24</f>
        <v>0</v>
      </c>
      <c r="I24" s="93">
        <v>0.24884</v>
      </c>
      <c r="J24" s="93">
        <f>F24*I24</f>
        <v>17.2794496</v>
      </c>
      <c r="K24" s="94" t="s">
        <v>120</v>
      </c>
      <c r="Z24" s="93">
        <f>IF(AQ24="5",BJ24,0)</f>
        <v>0</v>
      </c>
      <c r="AB24" s="93">
        <f>IF(AQ24="1",BH24,0)</f>
        <v>0</v>
      </c>
      <c r="AC24" s="93">
        <f>IF(AQ24="1",BI24,0)</f>
        <v>0</v>
      </c>
      <c r="AD24" s="93">
        <f>IF(AQ24="7",BH24,0)</f>
        <v>0</v>
      </c>
      <c r="AE24" s="93">
        <f>IF(AQ24="7",BI24,0)</f>
        <v>0</v>
      </c>
      <c r="AF24" s="93">
        <f>IF(AQ24="2",BH24,0)</f>
        <v>0</v>
      </c>
      <c r="AG24" s="93">
        <f>IF(AQ24="2",BI24,0)</f>
        <v>0</v>
      </c>
      <c r="AH24" s="93">
        <f>IF(AQ24="0",BJ24,0)</f>
        <v>0</v>
      </c>
      <c r="AI24" s="71"/>
      <c r="AJ24" s="93">
        <f>IF(AN24=0,H24,0)</f>
        <v>0</v>
      </c>
      <c r="AK24" s="93">
        <f>IF(AN24=12,H24,0)</f>
        <v>0</v>
      </c>
      <c r="AL24" s="93">
        <f>IF(AN24=21,H24,0)</f>
        <v>0</v>
      </c>
      <c r="AN24" s="93">
        <v>21</v>
      </c>
      <c r="AO24" s="93">
        <f>G24*0.533841075</f>
        <v>0</v>
      </c>
      <c r="AP24" s="93">
        <f>G24*(1-0.533841075)</f>
        <v>0</v>
      </c>
      <c r="AQ24" s="95" t="s">
        <v>116</v>
      </c>
      <c r="AV24" s="93">
        <f>AW24+AX24</f>
        <v>0</v>
      </c>
      <c r="AW24" s="93">
        <f>F24*AO24</f>
        <v>0</v>
      </c>
      <c r="AX24" s="93">
        <f>F24*AP24</f>
        <v>0</v>
      </c>
      <c r="AY24" s="95" t="s">
        <v>136</v>
      </c>
      <c r="AZ24" s="95" t="s">
        <v>122</v>
      </c>
      <c r="BA24" s="71" t="s">
        <v>123</v>
      </c>
      <c r="BC24" s="93">
        <f>AW24+AX24</f>
        <v>0</v>
      </c>
      <c r="BD24" s="93">
        <f>G24/(100-BE24)*100</f>
        <v>0</v>
      </c>
      <c r="BE24" s="93">
        <v>0</v>
      </c>
      <c r="BF24" s="93">
        <f>J24</f>
        <v>17.2794496</v>
      </c>
      <c r="BH24" s="93">
        <f>F24*AO24</f>
        <v>0</v>
      </c>
      <c r="BI24" s="93">
        <f>F24*AP24</f>
        <v>0</v>
      </c>
      <c r="BJ24" s="93">
        <f>F24*G24</f>
        <v>0</v>
      </c>
      <c r="BK24" s="93"/>
      <c r="BL24" s="93">
        <v>34</v>
      </c>
      <c r="BW24" s="93">
        <v>21</v>
      </c>
    </row>
    <row r="25" spans="1:11" ht="13.5" customHeight="1">
      <c r="A25" s="96"/>
      <c r="C25" s="97" t="s">
        <v>124</v>
      </c>
      <c r="D25" s="97"/>
      <c r="E25" s="97"/>
      <c r="F25" s="97"/>
      <c r="G25" s="97"/>
      <c r="H25" s="97"/>
      <c r="I25" s="97"/>
      <c r="J25" s="97"/>
      <c r="K25" s="97"/>
    </row>
    <row r="26" spans="1:11" ht="15">
      <c r="A26" s="96"/>
      <c r="C26" s="98" t="s">
        <v>141</v>
      </c>
      <c r="D26" s="99"/>
      <c r="F26" s="100">
        <v>69.44</v>
      </c>
      <c r="K26" s="101"/>
    </row>
    <row r="27" spans="1:75" ht="13.5" customHeight="1">
      <c r="A27" s="92" t="s">
        <v>142</v>
      </c>
      <c r="B27" s="10" t="s">
        <v>143</v>
      </c>
      <c r="C27" s="8" t="s">
        <v>144</v>
      </c>
      <c r="D27" s="8"/>
      <c r="E27" s="10" t="s">
        <v>135</v>
      </c>
      <c r="F27" s="93">
        <v>70.4</v>
      </c>
      <c r="G27" s="93">
        <v>0</v>
      </c>
      <c r="H27" s="93">
        <f>F27*G27</f>
        <v>0</v>
      </c>
      <c r="I27" s="93">
        <v>0.12183</v>
      </c>
      <c r="J27" s="93">
        <f>F27*I27</f>
        <v>8.576832</v>
      </c>
      <c r="K27" s="94" t="s">
        <v>120</v>
      </c>
      <c r="Z27" s="93">
        <f>IF(AQ27="5",BJ27,0)</f>
        <v>0</v>
      </c>
      <c r="AB27" s="93">
        <f>IF(AQ27="1",BH27,0)</f>
        <v>0</v>
      </c>
      <c r="AC27" s="93">
        <f>IF(AQ27="1",BI27,0)</f>
        <v>0</v>
      </c>
      <c r="AD27" s="93">
        <f>IF(AQ27="7",BH27,0)</f>
        <v>0</v>
      </c>
      <c r="AE27" s="93">
        <f>IF(AQ27="7",BI27,0)</f>
        <v>0</v>
      </c>
      <c r="AF27" s="93">
        <f>IF(AQ27="2",BH27,0)</f>
        <v>0</v>
      </c>
      <c r="AG27" s="93">
        <f>IF(AQ27="2",BI27,0)</f>
        <v>0</v>
      </c>
      <c r="AH27" s="93">
        <f>IF(AQ27="0",BJ27,0)</f>
        <v>0</v>
      </c>
      <c r="AI27" s="71"/>
      <c r="AJ27" s="93">
        <f>IF(AN27=0,H27,0)</f>
        <v>0</v>
      </c>
      <c r="AK27" s="93">
        <f>IF(AN27=12,H27,0)</f>
        <v>0</v>
      </c>
      <c r="AL27" s="93">
        <f>IF(AN27=21,H27,0)</f>
        <v>0</v>
      </c>
      <c r="AN27" s="93">
        <v>21</v>
      </c>
      <c r="AO27" s="93">
        <f>G27*0.664315992</f>
        <v>0</v>
      </c>
      <c r="AP27" s="93">
        <f>G27*(1-0.664315992)</f>
        <v>0</v>
      </c>
      <c r="AQ27" s="95" t="s">
        <v>116</v>
      </c>
      <c r="AV27" s="93">
        <f>AW27+AX27</f>
        <v>0</v>
      </c>
      <c r="AW27" s="93">
        <f>F27*AO27</f>
        <v>0</v>
      </c>
      <c r="AX27" s="93">
        <f>F27*AP27</f>
        <v>0</v>
      </c>
      <c r="AY27" s="95" t="s">
        <v>136</v>
      </c>
      <c r="AZ27" s="95" t="s">
        <v>122</v>
      </c>
      <c r="BA27" s="71" t="s">
        <v>123</v>
      </c>
      <c r="BC27" s="93">
        <f>AW27+AX27</f>
        <v>0</v>
      </c>
      <c r="BD27" s="93">
        <f>G27/(100-BE27)*100</f>
        <v>0</v>
      </c>
      <c r="BE27" s="93">
        <v>0</v>
      </c>
      <c r="BF27" s="93">
        <f>J27</f>
        <v>8.576832</v>
      </c>
      <c r="BH27" s="93">
        <f>F27*AO27</f>
        <v>0</v>
      </c>
      <c r="BI27" s="93">
        <f>F27*AP27</f>
        <v>0</v>
      </c>
      <c r="BJ27" s="93">
        <f>F27*G27</f>
        <v>0</v>
      </c>
      <c r="BK27" s="93"/>
      <c r="BL27" s="93">
        <v>34</v>
      </c>
      <c r="BW27" s="93">
        <v>21</v>
      </c>
    </row>
    <row r="28" spans="1:11" ht="13.5" customHeight="1">
      <c r="A28" s="96"/>
      <c r="C28" s="97" t="s">
        <v>145</v>
      </c>
      <c r="D28" s="97"/>
      <c r="E28" s="97"/>
      <c r="F28" s="97"/>
      <c r="G28" s="97"/>
      <c r="H28" s="97"/>
      <c r="I28" s="97"/>
      <c r="J28" s="97"/>
      <c r="K28" s="97"/>
    </row>
    <row r="29" spans="1:11" ht="15">
      <c r="A29" s="96"/>
      <c r="C29" s="98" t="s">
        <v>146</v>
      </c>
      <c r="D29" s="99"/>
      <c r="F29" s="100">
        <v>70.4</v>
      </c>
      <c r="K29" s="101"/>
    </row>
    <row r="30" spans="1:47" ht="15" customHeight="1">
      <c r="A30" s="87"/>
      <c r="B30" s="88" t="s">
        <v>147</v>
      </c>
      <c r="C30" s="89" t="s">
        <v>148</v>
      </c>
      <c r="D30" s="89"/>
      <c r="E30" s="90" t="s">
        <v>79</v>
      </c>
      <c r="F30" s="90" t="s">
        <v>79</v>
      </c>
      <c r="G30" s="90" t="s">
        <v>79</v>
      </c>
      <c r="H30" s="61">
        <f>SUM(H31:H62)</f>
        <v>0</v>
      </c>
      <c r="I30" s="71"/>
      <c r="J30" s="61">
        <f>SUM(J31:J62)</f>
        <v>6.376240875</v>
      </c>
      <c r="K30" s="91"/>
      <c r="AI30" s="71"/>
      <c r="AS30" s="61">
        <f>SUM(AJ31:AJ62)</f>
        <v>0</v>
      </c>
      <c r="AT30" s="61">
        <f>SUM(AK31:AK62)</f>
        <v>0</v>
      </c>
      <c r="AU30" s="61">
        <f>SUM(AL31:AL62)</f>
        <v>0</v>
      </c>
    </row>
    <row r="31" spans="1:75" ht="13.5" customHeight="1">
      <c r="A31" s="92" t="s">
        <v>149</v>
      </c>
      <c r="B31" s="10" t="s">
        <v>150</v>
      </c>
      <c r="C31" s="8" t="s">
        <v>151</v>
      </c>
      <c r="D31" s="8"/>
      <c r="E31" s="10" t="s">
        <v>135</v>
      </c>
      <c r="F31" s="93">
        <v>90.445</v>
      </c>
      <c r="G31" s="93">
        <v>0</v>
      </c>
      <c r="H31" s="93">
        <f>F31*G31</f>
        <v>0</v>
      </c>
      <c r="I31" s="93">
        <v>0.05369</v>
      </c>
      <c r="J31" s="93">
        <f>F31*I31</f>
        <v>4.85599205</v>
      </c>
      <c r="K31" s="94" t="s">
        <v>120</v>
      </c>
      <c r="Z31" s="93">
        <f>IF(AQ31="5",BJ31,0)</f>
        <v>0</v>
      </c>
      <c r="AB31" s="93">
        <f>IF(AQ31="1",BH31,0)</f>
        <v>0</v>
      </c>
      <c r="AC31" s="93">
        <f>IF(AQ31="1",BI31,0)</f>
        <v>0</v>
      </c>
      <c r="AD31" s="93">
        <f>IF(AQ31="7",BH31,0)</f>
        <v>0</v>
      </c>
      <c r="AE31" s="93">
        <f>IF(AQ31="7",BI31,0)</f>
        <v>0</v>
      </c>
      <c r="AF31" s="93">
        <f>IF(AQ31="2",BH31,0)</f>
        <v>0</v>
      </c>
      <c r="AG31" s="93">
        <f>IF(AQ31="2",BI31,0)</f>
        <v>0</v>
      </c>
      <c r="AH31" s="93">
        <f>IF(AQ31="0",BJ31,0)</f>
        <v>0</v>
      </c>
      <c r="AI31" s="71"/>
      <c r="AJ31" s="93">
        <f>IF(AN31=0,H31,0)</f>
        <v>0</v>
      </c>
      <c r="AK31" s="93">
        <f>IF(AN31=12,H31,0)</f>
        <v>0</v>
      </c>
      <c r="AL31" s="93">
        <f>IF(AN31=21,H31,0)</f>
        <v>0</v>
      </c>
      <c r="AN31" s="93">
        <v>21</v>
      </c>
      <c r="AO31" s="93">
        <f>G31*0.156746726</f>
        <v>0</v>
      </c>
      <c r="AP31" s="93">
        <f>G31*(1-0.156746726)</f>
        <v>0</v>
      </c>
      <c r="AQ31" s="95" t="s">
        <v>116</v>
      </c>
      <c r="AV31" s="93">
        <f>AW31+AX31</f>
        <v>0</v>
      </c>
      <c r="AW31" s="93">
        <f>F31*AO31</f>
        <v>0</v>
      </c>
      <c r="AX31" s="93">
        <f>F31*AP31</f>
        <v>0</v>
      </c>
      <c r="AY31" s="95" t="s">
        <v>152</v>
      </c>
      <c r="AZ31" s="95" t="s">
        <v>153</v>
      </c>
      <c r="BA31" s="71" t="s">
        <v>123</v>
      </c>
      <c r="BC31" s="93">
        <f>AW31+AX31</f>
        <v>0</v>
      </c>
      <c r="BD31" s="93">
        <f>G31/(100-BE31)*100</f>
        <v>0</v>
      </c>
      <c r="BE31" s="93">
        <v>0</v>
      </c>
      <c r="BF31" s="93">
        <f>J31</f>
        <v>4.85599205</v>
      </c>
      <c r="BH31" s="93">
        <f>F31*AO31</f>
        <v>0</v>
      </c>
      <c r="BI31" s="93">
        <f>F31*AP31</f>
        <v>0</v>
      </c>
      <c r="BJ31" s="93">
        <f>F31*G31</f>
        <v>0</v>
      </c>
      <c r="BK31" s="93"/>
      <c r="BL31" s="93">
        <v>61</v>
      </c>
      <c r="BW31" s="93">
        <v>21</v>
      </c>
    </row>
    <row r="32" spans="1:11" ht="15">
      <c r="A32" s="96"/>
      <c r="C32" s="98" t="s">
        <v>154</v>
      </c>
      <c r="D32" s="99"/>
      <c r="F32" s="100">
        <v>11.17</v>
      </c>
      <c r="K32" s="101"/>
    </row>
    <row r="33" spans="1:11" ht="15">
      <c r="A33" s="96"/>
      <c r="C33" s="98" t="s">
        <v>155</v>
      </c>
      <c r="D33" s="99"/>
      <c r="F33" s="100">
        <v>40.8025</v>
      </c>
      <c r="K33" s="101"/>
    </row>
    <row r="34" spans="1:11" ht="15">
      <c r="A34" s="96"/>
      <c r="C34" s="98" t="s">
        <v>156</v>
      </c>
      <c r="D34" s="99"/>
      <c r="F34" s="100">
        <v>4.03</v>
      </c>
      <c r="K34" s="101"/>
    </row>
    <row r="35" spans="1:11" ht="15">
      <c r="A35" s="96"/>
      <c r="C35" s="98" t="s">
        <v>157</v>
      </c>
      <c r="D35" s="99"/>
      <c r="F35" s="100">
        <v>17.8925</v>
      </c>
      <c r="K35" s="101"/>
    </row>
    <row r="36" spans="1:11" ht="15">
      <c r="A36" s="96"/>
      <c r="C36" s="98" t="s">
        <v>158</v>
      </c>
      <c r="D36" s="99"/>
      <c r="F36" s="100">
        <v>8.725</v>
      </c>
      <c r="K36" s="101"/>
    </row>
    <row r="37" spans="1:11" ht="15">
      <c r="A37" s="96"/>
      <c r="C37" s="98" t="s">
        <v>159</v>
      </c>
      <c r="D37" s="99"/>
      <c r="F37" s="100">
        <v>7.825</v>
      </c>
      <c r="K37" s="101"/>
    </row>
    <row r="38" spans="1:75" ht="13.5" customHeight="1">
      <c r="A38" s="92" t="s">
        <v>160</v>
      </c>
      <c r="B38" s="10" t="s">
        <v>161</v>
      </c>
      <c r="C38" s="8" t="s">
        <v>162</v>
      </c>
      <c r="D38" s="8"/>
      <c r="E38" s="10" t="s">
        <v>163</v>
      </c>
      <c r="F38" s="93">
        <v>62</v>
      </c>
      <c r="G38" s="93">
        <v>0</v>
      </c>
      <c r="H38" s="93">
        <f>F38*G38</f>
        <v>0</v>
      </c>
      <c r="I38" s="93">
        <v>0.02</v>
      </c>
      <c r="J38" s="93">
        <f>F38*I38</f>
        <v>1.24</v>
      </c>
      <c r="K38" s="94"/>
      <c r="Z38" s="93">
        <f>IF(AQ38="5",BJ38,0)</f>
        <v>0</v>
      </c>
      <c r="AB38" s="93">
        <f>IF(AQ38="1",BH38,0)</f>
        <v>0</v>
      </c>
      <c r="AC38" s="93">
        <f>IF(AQ38="1",BI38,0)</f>
        <v>0</v>
      </c>
      <c r="AD38" s="93">
        <f>IF(AQ38="7",BH38,0)</f>
        <v>0</v>
      </c>
      <c r="AE38" s="93">
        <f>IF(AQ38="7",BI38,0)</f>
        <v>0</v>
      </c>
      <c r="AF38" s="93">
        <f>IF(AQ38="2",BH38,0)</f>
        <v>0</v>
      </c>
      <c r="AG38" s="93">
        <f>IF(AQ38="2",BI38,0)</f>
        <v>0</v>
      </c>
      <c r="AH38" s="93">
        <f>IF(AQ38="0",BJ38,0)</f>
        <v>0</v>
      </c>
      <c r="AI38" s="71"/>
      <c r="AJ38" s="93">
        <f>IF(AN38=0,H38,0)</f>
        <v>0</v>
      </c>
      <c r="AK38" s="93">
        <f>IF(AN38=12,H38,0)</f>
        <v>0</v>
      </c>
      <c r="AL38" s="93">
        <f>IF(AN38=21,H38,0)</f>
        <v>0</v>
      </c>
      <c r="AN38" s="93">
        <v>21</v>
      </c>
      <c r="AO38" s="93">
        <f>G38*0</f>
        <v>0</v>
      </c>
      <c r="AP38" s="93">
        <f>G38*(1-0)</f>
        <v>0</v>
      </c>
      <c r="AQ38" s="95" t="s">
        <v>116</v>
      </c>
      <c r="AV38" s="93">
        <f>AW38+AX38</f>
        <v>0</v>
      </c>
      <c r="AW38" s="93">
        <f>F38*AO38</f>
        <v>0</v>
      </c>
      <c r="AX38" s="93">
        <f>F38*AP38</f>
        <v>0</v>
      </c>
      <c r="AY38" s="95" t="s">
        <v>152</v>
      </c>
      <c r="AZ38" s="95" t="s">
        <v>153</v>
      </c>
      <c r="BA38" s="71" t="s">
        <v>123</v>
      </c>
      <c r="BC38" s="93">
        <f>AW38+AX38</f>
        <v>0</v>
      </c>
      <c r="BD38" s="93">
        <f>G38/(100-BE38)*100</f>
        <v>0</v>
      </c>
      <c r="BE38" s="93">
        <v>0</v>
      </c>
      <c r="BF38" s="93">
        <f>J38</f>
        <v>1.24</v>
      </c>
      <c r="BH38" s="93">
        <f>F38*AO38</f>
        <v>0</v>
      </c>
      <c r="BI38" s="93">
        <f>F38*AP38</f>
        <v>0</v>
      </c>
      <c r="BJ38" s="93">
        <f>F38*G38</f>
        <v>0</v>
      </c>
      <c r="BK38" s="93"/>
      <c r="BL38" s="93">
        <v>61</v>
      </c>
      <c r="BW38" s="93">
        <v>21</v>
      </c>
    </row>
    <row r="39" spans="1:11" ht="13.5" customHeight="1">
      <c r="A39" s="96"/>
      <c r="C39" s="97" t="s">
        <v>164</v>
      </c>
      <c r="D39" s="97"/>
      <c r="E39" s="97"/>
      <c r="F39" s="97"/>
      <c r="G39" s="97"/>
      <c r="H39" s="97"/>
      <c r="I39" s="97"/>
      <c r="J39" s="97"/>
      <c r="K39" s="97"/>
    </row>
    <row r="40" spans="1:11" ht="15">
      <c r="A40" s="96"/>
      <c r="C40" s="98" t="s">
        <v>165</v>
      </c>
      <c r="D40" s="99"/>
      <c r="F40" s="100">
        <v>62</v>
      </c>
      <c r="K40" s="101"/>
    </row>
    <row r="41" spans="1:75" ht="13.5" customHeight="1">
      <c r="A41" s="92" t="s">
        <v>166</v>
      </c>
      <c r="B41" s="10" t="s">
        <v>167</v>
      </c>
      <c r="C41" s="8" t="s">
        <v>168</v>
      </c>
      <c r="D41" s="8"/>
      <c r="E41" s="10" t="s">
        <v>135</v>
      </c>
      <c r="F41" s="93">
        <v>190.58</v>
      </c>
      <c r="G41" s="93">
        <v>0</v>
      </c>
      <c r="H41" s="93">
        <f>F41*G41</f>
        <v>0</v>
      </c>
      <c r="I41" s="93">
        <v>4E-05</v>
      </c>
      <c r="J41" s="93">
        <f>F41*I41</f>
        <v>0.0076232</v>
      </c>
      <c r="K41" s="94" t="s">
        <v>120</v>
      </c>
      <c r="Z41" s="93">
        <f>IF(AQ41="5",BJ41,0)</f>
        <v>0</v>
      </c>
      <c r="AB41" s="93">
        <f>IF(AQ41="1",BH41,0)</f>
        <v>0</v>
      </c>
      <c r="AC41" s="93">
        <f>IF(AQ41="1",BI41,0)</f>
        <v>0</v>
      </c>
      <c r="AD41" s="93">
        <f>IF(AQ41="7",BH41,0)</f>
        <v>0</v>
      </c>
      <c r="AE41" s="93">
        <f>IF(AQ41="7",BI41,0)</f>
        <v>0</v>
      </c>
      <c r="AF41" s="93">
        <f>IF(AQ41="2",BH41,0)</f>
        <v>0</v>
      </c>
      <c r="AG41" s="93">
        <f>IF(AQ41="2",BI41,0)</f>
        <v>0</v>
      </c>
      <c r="AH41" s="93">
        <f>IF(AQ41="0",BJ41,0)</f>
        <v>0</v>
      </c>
      <c r="AI41" s="71"/>
      <c r="AJ41" s="93">
        <f>IF(AN41=0,H41,0)</f>
        <v>0</v>
      </c>
      <c r="AK41" s="93">
        <f>IF(AN41=12,H41,0)</f>
        <v>0</v>
      </c>
      <c r="AL41" s="93">
        <f>IF(AN41=21,H41,0)</f>
        <v>0</v>
      </c>
      <c r="AN41" s="93">
        <v>21</v>
      </c>
      <c r="AO41" s="93">
        <f>G41*0.334083773</f>
        <v>0</v>
      </c>
      <c r="AP41" s="93">
        <f>G41*(1-0.334083773)</f>
        <v>0</v>
      </c>
      <c r="AQ41" s="95" t="s">
        <v>116</v>
      </c>
      <c r="AV41" s="93">
        <f>AW41+AX41</f>
        <v>0</v>
      </c>
      <c r="AW41" s="93">
        <f>F41*AO41</f>
        <v>0</v>
      </c>
      <c r="AX41" s="93">
        <f>F41*AP41</f>
        <v>0</v>
      </c>
      <c r="AY41" s="95" t="s">
        <v>152</v>
      </c>
      <c r="AZ41" s="95" t="s">
        <v>153</v>
      </c>
      <c r="BA41" s="71" t="s">
        <v>123</v>
      </c>
      <c r="BC41" s="93">
        <f>AW41+AX41</f>
        <v>0</v>
      </c>
      <c r="BD41" s="93">
        <f>G41/(100-BE41)*100</f>
        <v>0</v>
      </c>
      <c r="BE41" s="93">
        <v>0</v>
      </c>
      <c r="BF41" s="93">
        <f>J41</f>
        <v>0.0076232</v>
      </c>
      <c r="BH41" s="93">
        <f>F41*AO41</f>
        <v>0</v>
      </c>
      <c r="BI41" s="93">
        <f>F41*AP41</f>
        <v>0</v>
      </c>
      <c r="BJ41" s="93">
        <f>F41*G41</f>
        <v>0</v>
      </c>
      <c r="BK41" s="93"/>
      <c r="BL41" s="93">
        <v>61</v>
      </c>
      <c r="BW41" s="93">
        <v>21</v>
      </c>
    </row>
    <row r="42" spans="1:11" ht="15">
      <c r="A42" s="96"/>
      <c r="C42" s="98" t="s">
        <v>169</v>
      </c>
      <c r="D42" s="99"/>
      <c r="F42" s="100">
        <v>40.94</v>
      </c>
      <c r="K42" s="101"/>
    </row>
    <row r="43" spans="1:11" ht="15">
      <c r="A43" s="96"/>
      <c r="C43" s="98" t="s">
        <v>170</v>
      </c>
      <c r="D43" s="99"/>
      <c r="F43" s="100">
        <v>108.71</v>
      </c>
      <c r="K43" s="101"/>
    </row>
    <row r="44" spans="1:11" ht="15">
      <c r="A44" s="96"/>
      <c r="C44" s="98" t="s">
        <v>171</v>
      </c>
      <c r="D44" s="99"/>
      <c r="F44" s="100">
        <v>40.93</v>
      </c>
      <c r="K44" s="101"/>
    </row>
    <row r="45" spans="1:75" ht="13.5" customHeight="1">
      <c r="A45" s="92" t="s">
        <v>172</v>
      </c>
      <c r="B45" s="10" t="s">
        <v>173</v>
      </c>
      <c r="C45" s="8" t="s">
        <v>174</v>
      </c>
      <c r="D45" s="8"/>
      <c r="E45" s="10" t="s">
        <v>175</v>
      </c>
      <c r="F45" s="93">
        <v>361.78</v>
      </c>
      <c r="G45" s="93">
        <v>0</v>
      </c>
      <c r="H45" s="93">
        <f>F45*G45</f>
        <v>0</v>
      </c>
      <c r="I45" s="93">
        <v>0.00046</v>
      </c>
      <c r="J45" s="93">
        <f>F45*I45</f>
        <v>0.1664188</v>
      </c>
      <c r="K45" s="94" t="s">
        <v>120</v>
      </c>
      <c r="Z45" s="93">
        <f>IF(AQ45="5",BJ45,0)</f>
        <v>0</v>
      </c>
      <c r="AB45" s="93">
        <f>IF(AQ45="1",BH45,0)</f>
        <v>0</v>
      </c>
      <c r="AC45" s="93">
        <f>IF(AQ45="1",BI45,0)</f>
        <v>0</v>
      </c>
      <c r="AD45" s="93">
        <f>IF(AQ45="7",BH45,0)</f>
        <v>0</v>
      </c>
      <c r="AE45" s="93">
        <f>IF(AQ45="7",BI45,0)</f>
        <v>0</v>
      </c>
      <c r="AF45" s="93">
        <f>IF(AQ45="2",BH45,0)</f>
        <v>0</v>
      </c>
      <c r="AG45" s="93">
        <f>IF(AQ45="2",BI45,0)</f>
        <v>0</v>
      </c>
      <c r="AH45" s="93">
        <f>IF(AQ45="0",BJ45,0)</f>
        <v>0</v>
      </c>
      <c r="AI45" s="71"/>
      <c r="AJ45" s="93">
        <f>IF(AN45=0,H45,0)</f>
        <v>0</v>
      </c>
      <c r="AK45" s="93">
        <f>IF(AN45=12,H45,0)</f>
        <v>0</v>
      </c>
      <c r="AL45" s="93">
        <f>IF(AN45=21,H45,0)</f>
        <v>0</v>
      </c>
      <c r="AN45" s="93">
        <v>21</v>
      </c>
      <c r="AO45" s="93">
        <f>G45*0.519705671</f>
        <v>0</v>
      </c>
      <c r="AP45" s="93">
        <f>G45*(1-0.519705671)</f>
        <v>0</v>
      </c>
      <c r="AQ45" s="95" t="s">
        <v>116</v>
      </c>
      <c r="AV45" s="93">
        <f>AW45+AX45</f>
        <v>0</v>
      </c>
      <c r="AW45" s="93">
        <f>F45*AO45</f>
        <v>0</v>
      </c>
      <c r="AX45" s="93">
        <f>F45*AP45</f>
        <v>0</v>
      </c>
      <c r="AY45" s="95" t="s">
        <v>152</v>
      </c>
      <c r="AZ45" s="95" t="s">
        <v>153</v>
      </c>
      <c r="BA45" s="71" t="s">
        <v>123</v>
      </c>
      <c r="BC45" s="93">
        <f>AW45+AX45</f>
        <v>0</v>
      </c>
      <c r="BD45" s="93">
        <f>G45/(100-BE45)*100</f>
        <v>0</v>
      </c>
      <c r="BE45" s="93">
        <v>0</v>
      </c>
      <c r="BF45" s="93">
        <f>J45</f>
        <v>0.1664188</v>
      </c>
      <c r="BH45" s="93">
        <f>F45*AO45</f>
        <v>0</v>
      </c>
      <c r="BI45" s="93">
        <f>F45*AP45</f>
        <v>0</v>
      </c>
      <c r="BJ45" s="93">
        <f>F45*G45</f>
        <v>0</v>
      </c>
      <c r="BK45" s="93"/>
      <c r="BL45" s="93">
        <v>61</v>
      </c>
      <c r="BW45" s="93">
        <v>21</v>
      </c>
    </row>
    <row r="46" spans="1:11" ht="13.5" customHeight="1">
      <c r="A46" s="96"/>
      <c r="C46" s="97" t="s">
        <v>176</v>
      </c>
      <c r="D46" s="97"/>
      <c r="E46" s="97"/>
      <c r="F46" s="97"/>
      <c r="G46" s="97"/>
      <c r="H46" s="97"/>
      <c r="I46" s="97"/>
      <c r="J46" s="97"/>
      <c r="K46" s="97"/>
    </row>
    <row r="47" spans="1:11" ht="15">
      <c r="A47" s="96"/>
      <c r="C47" s="98" t="s">
        <v>177</v>
      </c>
      <c r="D47" s="99"/>
      <c r="F47" s="100">
        <v>44.68</v>
      </c>
      <c r="K47" s="101"/>
    </row>
    <row r="48" spans="1:11" ht="15">
      <c r="A48" s="96"/>
      <c r="C48" s="98" t="s">
        <v>178</v>
      </c>
      <c r="D48" s="99"/>
      <c r="F48" s="100">
        <v>163.21</v>
      </c>
      <c r="K48" s="101"/>
    </row>
    <row r="49" spans="1:11" ht="15">
      <c r="A49" s="96"/>
      <c r="C49" s="98" t="s">
        <v>179</v>
      </c>
      <c r="D49" s="99"/>
      <c r="F49" s="100">
        <v>16.12</v>
      </c>
      <c r="K49" s="101"/>
    </row>
    <row r="50" spans="1:11" ht="15">
      <c r="A50" s="96"/>
      <c r="C50" s="98" t="s">
        <v>180</v>
      </c>
      <c r="D50" s="99"/>
      <c r="F50" s="100">
        <v>71.57</v>
      </c>
      <c r="K50" s="101"/>
    </row>
    <row r="51" spans="1:11" ht="15">
      <c r="A51" s="96"/>
      <c r="C51" s="98" t="s">
        <v>181</v>
      </c>
      <c r="D51" s="99"/>
      <c r="F51" s="100">
        <v>34.9</v>
      </c>
      <c r="K51" s="101"/>
    </row>
    <row r="52" spans="1:11" ht="15">
      <c r="A52" s="96"/>
      <c r="C52" s="98" t="s">
        <v>182</v>
      </c>
      <c r="D52" s="99"/>
      <c r="F52" s="100">
        <v>31.3</v>
      </c>
      <c r="K52" s="101"/>
    </row>
    <row r="53" spans="1:75" ht="13.5" customHeight="1">
      <c r="A53" s="92" t="s">
        <v>183</v>
      </c>
      <c r="B53" s="10" t="s">
        <v>184</v>
      </c>
      <c r="C53" s="8" t="s">
        <v>185</v>
      </c>
      <c r="D53" s="8"/>
      <c r="E53" s="10" t="s">
        <v>175</v>
      </c>
      <c r="F53" s="93">
        <v>361.78</v>
      </c>
      <c r="G53" s="93">
        <v>0</v>
      </c>
      <c r="H53" s="93">
        <f>F53*G53</f>
        <v>0</v>
      </c>
      <c r="I53" s="93">
        <v>0.00015</v>
      </c>
      <c r="J53" s="93">
        <f>F53*I53</f>
        <v>0.054267</v>
      </c>
      <c r="K53" s="94" t="s">
        <v>120</v>
      </c>
      <c r="Z53" s="93">
        <f>IF(AQ53="5",BJ53,0)</f>
        <v>0</v>
      </c>
      <c r="AB53" s="93">
        <f>IF(AQ53="1",BH53,0)</f>
        <v>0</v>
      </c>
      <c r="AC53" s="93">
        <f>IF(AQ53="1",BI53,0)</f>
        <v>0</v>
      </c>
      <c r="AD53" s="93">
        <f>IF(AQ53="7",BH53,0)</f>
        <v>0</v>
      </c>
      <c r="AE53" s="93">
        <f>IF(AQ53="7",BI53,0)</f>
        <v>0</v>
      </c>
      <c r="AF53" s="93">
        <f>IF(AQ53="2",BH53,0)</f>
        <v>0</v>
      </c>
      <c r="AG53" s="93">
        <f>IF(AQ53="2",BI53,0)</f>
        <v>0</v>
      </c>
      <c r="AH53" s="93">
        <f>IF(AQ53="0",BJ53,0)</f>
        <v>0</v>
      </c>
      <c r="AI53" s="71"/>
      <c r="AJ53" s="93">
        <f>IF(AN53=0,H53,0)</f>
        <v>0</v>
      </c>
      <c r="AK53" s="93">
        <f>IF(AN53=12,H53,0)</f>
        <v>0</v>
      </c>
      <c r="AL53" s="93">
        <f>IF(AN53=21,H53,0)</f>
        <v>0</v>
      </c>
      <c r="AN53" s="93">
        <v>21</v>
      </c>
      <c r="AO53" s="93">
        <f>G53*0.515750595</f>
        <v>0</v>
      </c>
      <c r="AP53" s="93">
        <f>G53*(1-0.515750595)</f>
        <v>0</v>
      </c>
      <c r="AQ53" s="95" t="s">
        <v>116</v>
      </c>
      <c r="AV53" s="93">
        <f>AW53+AX53</f>
        <v>0</v>
      </c>
      <c r="AW53" s="93">
        <f>F53*AO53</f>
        <v>0</v>
      </c>
      <c r="AX53" s="93">
        <f>F53*AP53</f>
        <v>0</v>
      </c>
      <c r="AY53" s="95" t="s">
        <v>152</v>
      </c>
      <c r="AZ53" s="95" t="s">
        <v>153</v>
      </c>
      <c r="BA53" s="71" t="s">
        <v>123</v>
      </c>
      <c r="BC53" s="93">
        <f>AW53+AX53</f>
        <v>0</v>
      </c>
      <c r="BD53" s="93">
        <f>G53/(100-BE53)*100</f>
        <v>0</v>
      </c>
      <c r="BE53" s="93">
        <v>0</v>
      </c>
      <c r="BF53" s="93">
        <f>J53</f>
        <v>0.054267</v>
      </c>
      <c r="BH53" s="93">
        <f>F53*AO53</f>
        <v>0</v>
      </c>
      <c r="BI53" s="93">
        <f>F53*AP53</f>
        <v>0</v>
      </c>
      <c r="BJ53" s="93">
        <f>F53*G53</f>
        <v>0</v>
      </c>
      <c r="BK53" s="93"/>
      <c r="BL53" s="93">
        <v>61</v>
      </c>
      <c r="BW53" s="93">
        <v>21</v>
      </c>
    </row>
    <row r="54" spans="1:11" ht="13.5" customHeight="1">
      <c r="A54" s="96"/>
      <c r="C54" s="97" t="s">
        <v>186</v>
      </c>
      <c r="D54" s="97"/>
      <c r="E54" s="97"/>
      <c r="F54" s="97"/>
      <c r="G54" s="97"/>
      <c r="H54" s="97"/>
      <c r="I54" s="97"/>
      <c r="J54" s="97"/>
      <c r="K54" s="97"/>
    </row>
    <row r="55" spans="1:11" ht="15">
      <c r="A55" s="96"/>
      <c r="C55" s="98" t="s">
        <v>177</v>
      </c>
      <c r="D55" s="99"/>
      <c r="F55" s="100">
        <v>44.68</v>
      </c>
      <c r="K55" s="101"/>
    </row>
    <row r="56" spans="1:11" ht="15">
      <c r="A56" s="96"/>
      <c r="C56" s="98" t="s">
        <v>179</v>
      </c>
      <c r="D56" s="99"/>
      <c r="F56" s="100">
        <v>16.12</v>
      </c>
      <c r="K56" s="101"/>
    </row>
    <row r="57" spans="1:11" ht="15">
      <c r="A57" s="96"/>
      <c r="C57" s="98" t="s">
        <v>180</v>
      </c>
      <c r="D57" s="99"/>
      <c r="F57" s="100">
        <v>71.57</v>
      </c>
      <c r="K57" s="101"/>
    </row>
    <row r="58" spans="1:11" ht="15">
      <c r="A58" s="96"/>
      <c r="C58" s="98" t="s">
        <v>181</v>
      </c>
      <c r="D58" s="99"/>
      <c r="F58" s="100">
        <v>34.9</v>
      </c>
      <c r="K58" s="101"/>
    </row>
    <row r="59" spans="1:11" ht="15">
      <c r="A59" s="96"/>
      <c r="C59" s="98" t="s">
        <v>182</v>
      </c>
      <c r="D59" s="99"/>
      <c r="F59" s="100">
        <v>31.3</v>
      </c>
      <c r="K59" s="101"/>
    </row>
    <row r="60" spans="1:11" ht="15">
      <c r="A60" s="96"/>
      <c r="C60" s="98" t="s">
        <v>187</v>
      </c>
      <c r="D60" s="99"/>
      <c r="F60" s="100">
        <v>117.01</v>
      </c>
      <c r="K60" s="101"/>
    </row>
    <row r="61" spans="1:11" ht="15">
      <c r="A61" s="96"/>
      <c r="C61" s="98" t="s">
        <v>188</v>
      </c>
      <c r="D61" s="99"/>
      <c r="F61" s="100">
        <v>46.2</v>
      </c>
      <c r="K61" s="101"/>
    </row>
    <row r="62" spans="1:75" ht="13.5" customHeight="1">
      <c r="A62" s="92" t="s">
        <v>189</v>
      </c>
      <c r="B62" s="10" t="s">
        <v>190</v>
      </c>
      <c r="C62" s="8" t="s">
        <v>191</v>
      </c>
      <c r="D62" s="8"/>
      <c r="E62" s="10" t="s">
        <v>192</v>
      </c>
      <c r="F62" s="93">
        <v>1.2065</v>
      </c>
      <c r="G62" s="93">
        <v>0</v>
      </c>
      <c r="H62" s="93">
        <f>F62*G62</f>
        <v>0</v>
      </c>
      <c r="I62" s="93">
        <v>0.04305</v>
      </c>
      <c r="J62" s="93">
        <f>F62*I62</f>
        <v>0.051939825</v>
      </c>
      <c r="K62" s="94" t="s">
        <v>120</v>
      </c>
      <c r="Z62" s="93">
        <f>IF(AQ62="5",BJ62,0)</f>
        <v>0</v>
      </c>
      <c r="AB62" s="93">
        <f>IF(AQ62="1",BH62,0)</f>
        <v>0</v>
      </c>
      <c r="AC62" s="93">
        <f>IF(AQ62="1",BI62,0)</f>
        <v>0</v>
      </c>
      <c r="AD62" s="93">
        <f>IF(AQ62="7",BH62,0)</f>
        <v>0</v>
      </c>
      <c r="AE62" s="93">
        <f>IF(AQ62="7",BI62,0)</f>
        <v>0</v>
      </c>
      <c r="AF62" s="93">
        <f>IF(AQ62="2",BH62,0)</f>
        <v>0</v>
      </c>
      <c r="AG62" s="93">
        <f>IF(AQ62="2",BI62,0)</f>
        <v>0</v>
      </c>
      <c r="AH62" s="93">
        <f>IF(AQ62="0",BJ62,0)</f>
        <v>0</v>
      </c>
      <c r="AI62" s="71"/>
      <c r="AJ62" s="93">
        <f>IF(AN62=0,H62,0)</f>
        <v>0</v>
      </c>
      <c r="AK62" s="93">
        <f>IF(AN62=12,H62,0)</f>
        <v>0</v>
      </c>
      <c r="AL62" s="93">
        <f>IF(AN62=21,H62,0)</f>
        <v>0</v>
      </c>
      <c r="AN62" s="93">
        <v>21</v>
      </c>
      <c r="AO62" s="93">
        <f>G62*0.163625861</f>
        <v>0</v>
      </c>
      <c r="AP62" s="93">
        <f>G62*(1-0.163625861)</f>
        <v>0</v>
      </c>
      <c r="AQ62" s="95" t="s">
        <v>116</v>
      </c>
      <c r="AV62" s="93">
        <f>AW62+AX62</f>
        <v>0</v>
      </c>
      <c r="AW62" s="93">
        <f>F62*AO62</f>
        <v>0</v>
      </c>
      <c r="AX62" s="93">
        <f>F62*AP62</f>
        <v>0</v>
      </c>
      <c r="AY62" s="95" t="s">
        <v>152</v>
      </c>
      <c r="AZ62" s="95" t="s">
        <v>153</v>
      </c>
      <c r="BA62" s="71" t="s">
        <v>123</v>
      </c>
      <c r="BC62" s="93">
        <f>AW62+AX62</f>
        <v>0</v>
      </c>
      <c r="BD62" s="93">
        <f>G62/(100-BE62)*100</f>
        <v>0</v>
      </c>
      <c r="BE62" s="93">
        <v>0</v>
      </c>
      <c r="BF62" s="93">
        <f>J62</f>
        <v>0.051939825</v>
      </c>
      <c r="BH62" s="93">
        <f>F62*AO62</f>
        <v>0</v>
      </c>
      <c r="BI62" s="93">
        <f>F62*AP62</f>
        <v>0</v>
      </c>
      <c r="BJ62" s="93">
        <f>F62*G62</f>
        <v>0</v>
      </c>
      <c r="BK62" s="93"/>
      <c r="BL62" s="93">
        <v>61</v>
      </c>
      <c r="BW62" s="93">
        <v>21</v>
      </c>
    </row>
    <row r="63" spans="1:11" ht="15">
      <c r="A63" s="96"/>
      <c r="C63" s="98" t="s">
        <v>193</v>
      </c>
      <c r="D63" s="99"/>
      <c r="F63" s="100">
        <v>1.2065</v>
      </c>
      <c r="K63" s="101"/>
    </row>
    <row r="64" spans="1:47" ht="15" customHeight="1">
      <c r="A64" s="87"/>
      <c r="B64" s="88" t="s">
        <v>165</v>
      </c>
      <c r="C64" s="89" t="s">
        <v>194</v>
      </c>
      <c r="D64" s="89"/>
      <c r="E64" s="90" t="s">
        <v>79</v>
      </c>
      <c r="F64" s="90" t="s">
        <v>79</v>
      </c>
      <c r="G64" s="90" t="s">
        <v>79</v>
      </c>
      <c r="H64" s="61">
        <f>SUM(H65:H97)</f>
        <v>0</v>
      </c>
      <c r="I64" s="71"/>
      <c r="J64" s="61">
        <f>SUM(J65:J97)</f>
        <v>1.470994665</v>
      </c>
      <c r="K64" s="91"/>
      <c r="AI64" s="71"/>
      <c r="AS64" s="61">
        <f>SUM(AJ65:AJ97)</f>
        <v>0</v>
      </c>
      <c r="AT64" s="61">
        <f>SUM(AK65:AK97)</f>
        <v>0</v>
      </c>
      <c r="AU64" s="61">
        <f>SUM(AL65:AL97)</f>
        <v>0</v>
      </c>
    </row>
    <row r="65" spans="1:75" ht="13.5" customHeight="1">
      <c r="A65" s="92" t="s">
        <v>195</v>
      </c>
      <c r="B65" s="10" t="s">
        <v>196</v>
      </c>
      <c r="C65" s="8" t="s">
        <v>197</v>
      </c>
      <c r="D65" s="8"/>
      <c r="E65" s="10" t="s">
        <v>135</v>
      </c>
      <c r="F65" s="93">
        <v>63.42</v>
      </c>
      <c r="G65" s="93">
        <v>0</v>
      </c>
      <c r="H65" s="93">
        <f>F65*G65</f>
        <v>0</v>
      </c>
      <c r="I65" s="93">
        <v>2E-05</v>
      </c>
      <c r="J65" s="93">
        <f>F65*I65</f>
        <v>0.0012684</v>
      </c>
      <c r="K65" s="94" t="s">
        <v>120</v>
      </c>
      <c r="Z65" s="93">
        <f>IF(AQ65="5",BJ65,0)</f>
        <v>0</v>
      </c>
      <c r="AB65" s="93">
        <f>IF(AQ65="1",BH65,0)</f>
        <v>0</v>
      </c>
      <c r="AC65" s="93">
        <f>IF(AQ65="1",BI65,0)</f>
        <v>0</v>
      </c>
      <c r="AD65" s="93">
        <f>IF(AQ65="7",BH65,0)</f>
        <v>0</v>
      </c>
      <c r="AE65" s="93">
        <f>IF(AQ65="7",BI65,0)</f>
        <v>0</v>
      </c>
      <c r="AF65" s="93">
        <f>IF(AQ65="2",BH65,0)</f>
        <v>0</v>
      </c>
      <c r="AG65" s="93">
        <f>IF(AQ65="2",BI65,0)</f>
        <v>0</v>
      </c>
      <c r="AH65" s="93">
        <f>IF(AQ65="0",BJ65,0)</f>
        <v>0</v>
      </c>
      <c r="AI65" s="71"/>
      <c r="AJ65" s="93">
        <f>IF(AN65=0,H65,0)</f>
        <v>0</v>
      </c>
      <c r="AK65" s="93">
        <f>IF(AN65=12,H65,0)</f>
        <v>0</v>
      </c>
      <c r="AL65" s="93">
        <f>IF(AN65=21,H65,0)</f>
        <v>0</v>
      </c>
      <c r="AN65" s="93">
        <v>21</v>
      </c>
      <c r="AO65" s="93">
        <f>G65*0.065388034</f>
        <v>0</v>
      </c>
      <c r="AP65" s="93">
        <f>G65*(1-0.065388034)</f>
        <v>0</v>
      </c>
      <c r="AQ65" s="95" t="s">
        <v>116</v>
      </c>
      <c r="AV65" s="93">
        <f>AW65+AX65</f>
        <v>0</v>
      </c>
      <c r="AW65" s="93">
        <f>F65*AO65</f>
        <v>0</v>
      </c>
      <c r="AX65" s="93">
        <f>F65*AP65</f>
        <v>0</v>
      </c>
      <c r="AY65" s="95" t="s">
        <v>198</v>
      </c>
      <c r="AZ65" s="95" t="s">
        <v>153</v>
      </c>
      <c r="BA65" s="71" t="s">
        <v>123</v>
      </c>
      <c r="BC65" s="93">
        <f>AW65+AX65</f>
        <v>0</v>
      </c>
      <c r="BD65" s="93">
        <f>G65/(100-BE65)*100</f>
        <v>0</v>
      </c>
      <c r="BE65" s="93">
        <v>0</v>
      </c>
      <c r="BF65" s="93">
        <f>J65</f>
        <v>0.0012684</v>
      </c>
      <c r="BH65" s="93">
        <f>F65*AO65</f>
        <v>0</v>
      </c>
      <c r="BI65" s="93">
        <f>F65*AP65</f>
        <v>0</v>
      </c>
      <c r="BJ65" s="93">
        <f>F65*G65</f>
        <v>0</v>
      </c>
      <c r="BK65" s="93"/>
      <c r="BL65" s="93">
        <v>62</v>
      </c>
      <c r="BW65" s="93">
        <v>21</v>
      </c>
    </row>
    <row r="66" spans="1:11" ht="13.5" customHeight="1">
      <c r="A66" s="96"/>
      <c r="C66" s="97" t="s">
        <v>199</v>
      </c>
      <c r="D66" s="97"/>
      <c r="E66" s="97"/>
      <c r="F66" s="97"/>
      <c r="G66" s="97"/>
      <c r="H66" s="97"/>
      <c r="I66" s="97"/>
      <c r="J66" s="97"/>
      <c r="K66" s="97"/>
    </row>
    <row r="67" spans="1:11" ht="15">
      <c r="A67" s="96"/>
      <c r="C67" s="98" t="s">
        <v>200</v>
      </c>
      <c r="D67" s="99"/>
      <c r="F67" s="100">
        <v>32.642</v>
      </c>
      <c r="K67" s="101"/>
    </row>
    <row r="68" spans="1:11" ht="15">
      <c r="A68" s="96"/>
      <c r="C68" s="98" t="s">
        <v>201</v>
      </c>
      <c r="D68" s="99"/>
      <c r="F68" s="100">
        <v>3.224</v>
      </c>
      <c r="K68" s="101"/>
    </row>
    <row r="69" spans="1:11" ht="15">
      <c r="A69" s="96"/>
      <c r="C69" s="98" t="s">
        <v>202</v>
      </c>
      <c r="D69" s="99"/>
      <c r="F69" s="100">
        <v>14.314</v>
      </c>
      <c r="K69" s="101"/>
    </row>
    <row r="70" spans="1:11" ht="15">
      <c r="A70" s="96"/>
      <c r="C70" s="98" t="s">
        <v>203</v>
      </c>
      <c r="D70" s="99"/>
      <c r="F70" s="100">
        <v>6.98</v>
      </c>
      <c r="K70" s="101"/>
    </row>
    <row r="71" spans="1:11" ht="15">
      <c r="A71" s="96"/>
      <c r="C71" s="98" t="s">
        <v>204</v>
      </c>
      <c r="D71" s="99"/>
      <c r="F71" s="100">
        <v>6.26</v>
      </c>
      <c r="K71" s="101"/>
    </row>
    <row r="72" spans="1:75" ht="13.5" customHeight="1">
      <c r="A72" s="92" t="s">
        <v>205</v>
      </c>
      <c r="B72" s="10" t="s">
        <v>206</v>
      </c>
      <c r="C72" s="8" t="s">
        <v>207</v>
      </c>
      <c r="D72" s="8"/>
      <c r="E72" s="10" t="s">
        <v>135</v>
      </c>
      <c r="F72" s="93">
        <v>63.414</v>
      </c>
      <c r="G72" s="93">
        <v>0</v>
      </c>
      <c r="H72" s="93">
        <f>F72*G72</f>
        <v>0</v>
      </c>
      <c r="I72" s="93">
        <v>0.00032</v>
      </c>
      <c r="J72" s="93">
        <f>F72*I72</f>
        <v>0.02029248</v>
      </c>
      <c r="K72" s="94" t="s">
        <v>120</v>
      </c>
      <c r="Z72" s="93">
        <f>IF(AQ72="5",BJ72,0)</f>
        <v>0</v>
      </c>
      <c r="AB72" s="93">
        <f>IF(AQ72="1",BH72,0)</f>
        <v>0</v>
      </c>
      <c r="AC72" s="93">
        <f>IF(AQ72="1",BI72,0)</f>
        <v>0</v>
      </c>
      <c r="AD72" s="93">
        <f>IF(AQ72="7",BH72,0)</f>
        <v>0</v>
      </c>
      <c r="AE72" s="93">
        <f>IF(AQ72="7",BI72,0)</f>
        <v>0</v>
      </c>
      <c r="AF72" s="93">
        <f>IF(AQ72="2",BH72,0)</f>
        <v>0</v>
      </c>
      <c r="AG72" s="93">
        <f>IF(AQ72="2",BI72,0)</f>
        <v>0</v>
      </c>
      <c r="AH72" s="93">
        <f>IF(AQ72="0",BJ72,0)</f>
        <v>0</v>
      </c>
      <c r="AI72" s="71"/>
      <c r="AJ72" s="93">
        <f>IF(AN72=0,H72,0)</f>
        <v>0</v>
      </c>
      <c r="AK72" s="93">
        <f>IF(AN72=12,H72,0)</f>
        <v>0</v>
      </c>
      <c r="AL72" s="93">
        <f>IF(AN72=21,H72,0)</f>
        <v>0</v>
      </c>
      <c r="AN72" s="93">
        <v>21</v>
      </c>
      <c r="AO72" s="93">
        <f>G72*0.29444496</f>
        <v>0</v>
      </c>
      <c r="AP72" s="93">
        <f>G72*(1-0.29444496)</f>
        <v>0</v>
      </c>
      <c r="AQ72" s="95" t="s">
        <v>116</v>
      </c>
      <c r="AV72" s="93">
        <f>AW72+AX72</f>
        <v>0</v>
      </c>
      <c r="AW72" s="93">
        <f>F72*AO72</f>
        <v>0</v>
      </c>
      <c r="AX72" s="93">
        <f>F72*AP72</f>
        <v>0</v>
      </c>
      <c r="AY72" s="95" t="s">
        <v>198</v>
      </c>
      <c r="AZ72" s="95" t="s">
        <v>153</v>
      </c>
      <c r="BA72" s="71" t="s">
        <v>123</v>
      </c>
      <c r="BC72" s="93">
        <f>AW72+AX72</f>
        <v>0</v>
      </c>
      <c r="BD72" s="93">
        <f>G72/(100-BE72)*100</f>
        <v>0</v>
      </c>
      <c r="BE72" s="93">
        <v>0</v>
      </c>
      <c r="BF72" s="93">
        <f>J72</f>
        <v>0.02029248</v>
      </c>
      <c r="BH72" s="93">
        <f>F72*AO72</f>
        <v>0</v>
      </c>
      <c r="BI72" s="93">
        <f>F72*AP72</f>
        <v>0</v>
      </c>
      <c r="BJ72" s="93">
        <f>F72*G72</f>
        <v>0</v>
      </c>
      <c r="BK72" s="93"/>
      <c r="BL72" s="93">
        <v>62</v>
      </c>
      <c r="BW72" s="93">
        <v>21</v>
      </c>
    </row>
    <row r="73" spans="1:11" ht="40.5" customHeight="1">
      <c r="A73" s="96"/>
      <c r="C73" s="97" t="s">
        <v>208</v>
      </c>
      <c r="D73" s="97"/>
      <c r="E73" s="97"/>
      <c r="F73" s="97"/>
      <c r="G73" s="97"/>
      <c r="H73" s="97"/>
      <c r="I73" s="97"/>
      <c r="J73" s="97"/>
      <c r="K73" s="97"/>
    </row>
    <row r="74" spans="1:11" ht="15">
      <c r="A74" s="96"/>
      <c r="C74" s="98" t="s">
        <v>209</v>
      </c>
      <c r="D74" s="99"/>
      <c r="F74" s="100">
        <v>63.414</v>
      </c>
      <c r="K74" s="101"/>
    </row>
    <row r="75" spans="1:75" ht="13.5" customHeight="1">
      <c r="A75" s="92" t="s">
        <v>210</v>
      </c>
      <c r="B75" s="10" t="s">
        <v>211</v>
      </c>
      <c r="C75" s="8" t="s">
        <v>212</v>
      </c>
      <c r="D75" s="8"/>
      <c r="E75" s="10" t="s">
        <v>135</v>
      </c>
      <c r="F75" s="93">
        <v>63.414</v>
      </c>
      <c r="G75" s="93">
        <v>0</v>
      </c>
      <c r="H75" s="93">
        <f>F75*G75</f>
        <v>0</v>
      </c>
      <c r="I75" s="93">
        <v>0</v>
      </c>
      <c r="J75" s="93">
        <f>F75*I75</f>
        <v>0</v>
      </c>
      <c r="K75" s="94" t="s">
        <v>120</v>
      </c>
      <c r="Z75" s="93">
        <f>IF(AQ75="5",BJ75,0)</f>
        <v>0</v>
      </c>
      <c r="AB75" s="93">
        <f>IF(AQ75="1",BH75,0)</f>
        <v>0</v>
      </c>
      <c r="AC75" s="93">
        <f>IF(AQ75="1",BI75,0)</f>
        <v>0</v>
      </c>
      <c r="AD75" s="93">
        <f>IF(AQ75="7",BH75,0)</f>
        <v>0</v>
      </c>
      <c r="AE75" s="93">
        <f>IF(AQ75="7",BI75,0)</f>
        <v>0</v>
      </c>
      <c r="AF75" s="93">
        <f>IF(AQ75="2",BH75,0)</f>
        <v>0</v>
      </c>
      <c r="AG75" s="93">
        <f>IF(AQ75="2",BI75,0)</f>
        <v>0</v>
      </c>
      <c r="AH75" s="93">
        <f>IF(AQ75="0",BJ75,0)</f>
        <v>0</v>
      </c>
      <c r="AI75" s="71"/>
      <c r="AJ75" s="93">
        <f>IF(AN75=0,H75,0)</f>
        <v>0</v>
      </c>
      <c r="AK75" s="93">
        <f>IF(AN75=12,H75,0)</f>
        <v>0</v>
      </c>
      <c r="AL75" s="93">
        <f>IF(AN75=21,H75,0)</f>
        <v>0</v>
      </c>
      <c r="AN75" s="93">
        <v>21</v>
      </c>
      <c r="AO75" s="93">
        <f>G75*0</f>
        <v>0</v>
      </c>
      <c r="AP75" s="93">
        <f>G75*(1-0)</f>
        <v>0</v>
      </c>
      <c r="AQ75" s="95" t="s">
        <v>116</v>
      </c>
      <c r="AV75" s="93">
        <f>AW75+AX75</f>
        <v>0</v>
      </c>
      <c r="AW75" s="93">
        <f>F75*AO75</f>
        <v>0</v>
      </c>
      <c r="AX75" s="93">
        <f>F75*AP75</f>
        <v>0</v>
      </c>
      <c r="AY75" s="95" t="s">
        <v>198</v>
      </c>
      <c r="AZ75" s="95" t="s">
        <v>153</v>
      </c>
      <c r="BA75" s="71" t="s">
        <v>123</v>
      </c>
      <c r="BC75" s="93">
        <f>AW75+AX75</f>
        <v>0</v>
      </c>
      <c r="BD75" s="93">
        <f>G75/(100-BE75)*100</f>
        <v>0</v>
      </c>
      <c r="BE75" s="93">
        <v>0</v>
      </c>
      <c r="BF75" s="93">
        <f>J75</f>
        <v>0</v>
      </c>
      <c r="BH75" s="93">
        <f>F75*AO75</f>
        <v>0</v>
      </c>
      <c r="BI75" s="93">
        <f>F75*AP75</f>
        <v>0</v>
      </c>
      <c r="BJ75" s="93">
        <f>F75*G75</f>
        <v>0</v>
      </c>
      <c r="BK75" s="93"/>
      <c r="BL75" s="93">
        <v>62</v>
      </c>
      <c r="BW75" s="93">
        <v>21</v>
      </c>
    </row>
    <row r="76" spans="1:11" ht="27" customHeight="1">
      <c r="A76" s="96"/>
      <c r="C76" s="97" t="s">
        <v>213</v>
      </c>
      <c r="D76" s="97"/>
      <c r="E76" s="97"/>
      <c r="F76" s="97"/>
      <c r="G76" s="97"/>
      <c r="H76" s="97"/>
      <c r="I76" s="97"/>
      <c r="J76" s="97"/>
      <c r="K76" s="97"/>
    </row>
    <row r="77" spans="1:11" ht="15">
      <c r="A77" s="96"/>
      <c r="C77" s="98" t="s">
        <v>209</v>
      </c>
      <c r="D77" s="99"/>
      <c r="F77" s="100">
        <v>63.414</v>
      </c>
      <c r="K77" s="101"/>
    </row>
    <row r="78" spans="1:75" ht="27" customHeight="1">
      <c r="A78" s="92" t="s">
        <v>214</v>
      </c>
      <c r="B78" s="10" t="s">
        <v>215</v>
      </c>
      <c r="C78" s="8" t="s">
        <v>216</v>
      </c>
      <c r="D78" s="8"/>
      <c r="E78" s="10" t="s">
        <v>135</v>
      </c>
      <c r="F78" s="93">
        <v>63.414</v>
      </c>
      <c r="G78" s="93">
        <v>0</v>
      </c>
      <c r="H78" s="93">
        <f>F78*G78</f>
        <v>0</v>
      </c>
      <c r="I78" s="93">
        <v>0.005</v>
      </c>
      <c r="J78" s="93">
        <f>F78*I78</f>
        <v>0.31707</v>
      </c>
      <c r="K78" s="94"/>
      <c r="Z78" s="93">
        <f>IF(AQ78="5",BJ78,0)</f>
        <v>0</v>
      </c>
      <c r="AB78" s="93">
        <f>IF(AQ78="1",BH78,0)</f>
        <v>0</v>
      </c>
      <c r="AC78" s="93">
        <f>IF(AQ78="1",BI78,0)</f>
        <v>0</v>
      </c>
      <c r="AD78" s="93">
        <f>IF(AQ78="7",BH78,0)</f>
        <v>0</v>
      </c>
      <c r="AE78" s="93">
        <f>IF(AQ78="7",BI78,0)</f>
        <v>0</v>
      </c>
      <c r="AF78" s="93">
        <f>IF(AQ78="2",BH78,0)</f>
        <v>0</v>
      </c>
      <c r="AG78" s="93">
        <f>IF(AQ78="2",BI78,0)</f>
        <v>0</v>
      </c>
      <c r="AH78" s="93">
        <f>IF(AQ78="0",BJ78,0)</f>
        <v>0</v>
      </c>
      <c r="AI78" s="71"/>
      <c r="AJ78" s="93">
        <f>IF(AN78=0,H78,0)</f>
        <v>0</v>
      </c>
      <c r="AK78" s="93">
        <f>IF(AN78=12,H78,0)</f>
        <v>0</v>
      </c>
      <c r="AL78" s="93">
        <f>IF(AN78=21,H78,0)</f>
        <v>0</v>
      </c>
      <c r="AN78" s="93">
        <v>21</v>
      </c>
      <c r="AO78" s="93">
        <f>G78*0</f>
        <v>0</v>
      </c>
      <c r="AP78" s="93">
        <f>G78*(1-0)</f>
        <v>0</v>
      </c>
      <c r="AQ78" s="95" t="s">
        <v>116</v>
      </c>
      <c r="AV78" s="93">
        <f>AW78+AX78</f>
        <v>0</v>
      </c>
      <c r="AW78" s="93">
        <f>F78*AO78</f>
        <v>0</v>
      </c>
      <c r="AX78" s="93">
        <f>F78*AP78</f>
        <v>0</v>
      </c>
      <c r="AY78" s="95" t="s">
        <v>198</v>
      </c>
      <c r="AZ78" s="95" t="s">
        <v>153</v>
      </c>
      <c r="BA78" s="71" t="s">
        <v>123</v>
      </c>
      <c r="BC78" s="93">
        <f>AW78+AX78</f>
        <v>0</v>
      </c>
      <c r="BD78" s="93">
        <f>G78/(100-BE78)*100</f>
        <v>0</v>
      </c>
      <c r="BE78" s="93">
        <v>0</v>
      </c>
      <c r="BF78" s="93">
        <f>J78</f>
        <v>0.31707</v>
      </c>
      <c r="BH78" s="93">
        <f>F78*AO78</f>
        <v>0</v>
      </c>
      <c r="BI78" s="93">
        <f>F78*AP78</f>
        <v>0</v>
      </c>
      <c r="BJ78" s="93">
        <f>F78*G78</f>
        <v>0</v>
      </c>
      <c r="BK78" s="93"/>
      <c r="BL78" s="93">
        <v>62</v>
      </c>
      <c r="BW78" s="93">
        <v>21</v>
      </c>
    </row>
    <row r="79" spans="1:11" ht="13.5" customHeight="1">
      <c r="A79" s="96"/>
      <c r="C79" s="97" t="s">
        <v>217</v>
      </c>
      <c r="D79" s="97"/>
      <c r="E79" s="97"/>
      <c r="F79" s="97"/>
      <c r="G79" s="97"/>
      <c r="H79" s="97"/>
      <c r="I79" s="97"/>
      <c r="J79" s="97"/>
      <c r="K79" s="97"/>
    </row>
    <row r="80" spans="1:11" ht="15">
      <c r="A80" s="96"/>
      <c r="C80" s="98" t="s">
        <v>209</v>
      </c>
      <c r="D80" s="99"/>
      <c r="F80" s="100">
        <v>63.414</v>
      </c>
      <c r="K80" s="101"/>
    </row>
    <row r="81" spans="1:75" ht="27" customHeight="1">
      <c r="A81" s="92" t="s">
        <v>218</v>
      </c>
      <c r="B81" s="10" t="s">
        <v>219</v>
      </c>
      <c r="C81" s="8" t="s">
        <v>220</v>
      </c>
      <c r="D81" s="8"/>
      <c r="E81" s="10" t="s">
        <v>135</v>
      </c>
      <c r="F81" s="93">
        <v>64.6205</v>
      </c>
      <c r="G81" s="93">
        <v>0</v>
      </c>
      <c r="H81" s="93">
        <f>F81*G81</f>
        <v>0</v>
      </c>
      <c r="I81" s="93">
        <v>0</v>
      </c>
      <c r="J81" s="93">
        <f>F81*I81</f>
        <v>0</v>
      </c>
      <c r="K81" s="94"/>
      <c r="Z81" s="93">
        <f>IF(AQ81="5",BJ81,0)</f>
        <v>0</v>
      </c>
      <c r="AB81" s="93">
        <f>IF(AQ81="1",BH81,0)</f>
        <v>0</v>
      </c>
      <c r="AC81" s="93">
        <f>IF(AQ81="1",BI81,0)</f>
        <v>0</v>
      </c>
      <c r="AD81" s="93">
        <f>IF(AQ81="7",BH81,0)</f>
        <v>0</v>
      </c>
      <c r="AE81" s="93">
        <f>IF(AQ81="7",BI81,0)</f>
        <v>0</v>
      </c>
      <c r="AF81" s="93">
        <f>IF(AQ81="2",BH81,0)</f>
        <v>0</v>
      </c>
      <c r="AG81" s="93">
        <f>IF(AQ81="2",BI81,0)</f>
        <v>0</v>
      </c>
      <c r="AH81" s="93">
        <f>IF(AQ81="0",BJ81,0)</f>
        <v>0</v>
      </c>
      <c r="AI81" s="71"/>
      <c r="AJ81" s="93">
        <f>IF(AN81=0,H81,0)</f>
        <v>0</v>
      </c>
      <c r="AK81" s="93">
        <f>IF(AN81=12,H81,0)</f>
        <v>0</v>
      </c>
      <c r="AL81" s="93">
        <f>IF(AN81=21,H81,0)</f>
        <v>0</v>
      </c>
      <c r="AN81" s="93">
        <v>21</v>
      </c>
      <c r="AO81" s="93">
        <f>G81*0</f>
        <v>0</v>
      </c>
      <c r="AP81" s="93">
        <f>G81*(1-0)</f>
        <v>0</v>
      </c>
      <c r="AQ81" s="95" t="s">
        <v>116</v>
      </c>
      <c r="AV81" s="93">
        <f>AW81+AX81</f>
        <v>0</v>
      </c>
      <c r="AW81" s="93">
        <f>F81*AO81</f>
        <v>0</v>
      </c>
      <c r="AX81" s="93">
        <f>F81*AP81</f>
        <v>0</v>
      </c>
      <c r="AY81" s="95" t="s">
        <v>198</v>
      </c>
      <c r="AZ81" s="95" t="s">
        <v>153</v>
      </c>
      <c r="BA81" s="71" t="s">
        <v>123</v>
      </c>
      <c r="BC81" s="93">
        <f>AW81+AX81</f>
        <v>0</v>
      </c>
      <c r="BD81" s="93">
        <f>G81/(100-BE81)*100</f>
        <v>0</v>
      </c>
      <c r="BE81" s="93">
        <v>0</v>
      </c>
      <c r="BF81" s="93">
        <f>J81</f>
        <v>0</v>
      </c>
      <c r="BH81" s="93">
        <f>F81*AO81</f>
        <v>0</v>
      </c>
      <c r="BI81" s="93">
        <f>F81*AP81</f>
        <v>0</v>
      </c>
      <c r="BJ81" s="93">
        <f>F81*G81</f>
        <v>0</v>
      </c>
      <c r="BK81" s="93"/>
      <c r="BL81" s="93">
        <v>62</v>
      </c>
      <c r="BW81" s="93">
        <v>21</v>
      </c>
    </row>
    <row r="82" spans="1:11" ht="13.5" customHeight="1">
      <c r="A82" s="96"/>
      <c r="C82" s="97" t="s">
        <v>221</v>
      </c>
      <c r="D82" s="97"/>
      <c r="E82" s="97"/>
      <c r="F82" s="97"/>
      <c r="G82" s="97"/>
      <c r="H82" s="97"/>
      <c r="I82" s="97"/>
      <c r="J82" s="97"/>
      <c r="K82" s="97"/>
    </row>
    <row r="83" spans="1:11" ht="15">
      <c r="A83" s="96"/>
      <c r="C83" s="98" t="s">
        <v>209</v>
      </c>
      <c r="D83" s="99"/>
      <c r="F83" s="100">
        <v>63.414</v>
      </c>
      <c r="K83" s="101"/>
    </row>
    <row r="84" spans="1:11" ht="15">
      <c r="A84" s="96"/>
      <c r="C84" s="98" t="s">
        <v>193</v>
      </c>
      <c r="D84" s="99"/>
      <c r="F84" s="100">
        <v>1.2065</v>
      </c>
      <c r="K84" s="101"/>
    </row>
    <row r="85" spans="1:75" ht="27" customHeight="1">
      <c r="A85" s="92" t="s">
        <v>222</v>
      </c>
      <c r="B85" s="10" t="s">
        <v>223</v>
      </c>
      <c r="C85" s="8" t="s">
        <v>224</v>
      </c>
      <c r="D85" s="8"/>
      <c r="E85" s="10" t="s">
        <v>135</v>
      </c>
      <c r="F85" s="93">
        <v>64.6205</v>
      </c>
      <c r="G85" s="93">
        <v>0</v>
      </c>
      <c r="H85" s="93">
        <f>F85*G85</f>
        <v>0</v>
      </c>
      <c r="I85" s="93">
        <v>0</v>
      </c>
      <c r="J85" s="93">
        <f>F85*I85</f>
        <v>0</v>
      </c>
      <c r="K85" s="94"/>
      <c r="Z85" s="93">
        <f>IF(AQ85="5",BJ85,0)</f>
        <v>0</v>
      </c>
      <c r="AB85" s="93">
        <f>IF(AQ85="1",BH85,0)</f>
        <v>0</v>
      </c>
      <c r="AC85" s="93">
        <f>IF(AQ85="1",BI85,0)</f>
        <v>0</v>
      </c>
      <c r="AD85" s="93">
        <f>IF(AQ85="7",BH85,0)</f>
        <v>0</v>
      </c>
      <c r="AE85" s="93">
        <f>IF(AQ85="7",BI85,0)</f>
        <v>0</v>
      </c>
      <c r="AF85" s="93">
        <f>IF(AQ85="2",BH85,0)</f>
        <v>0</v>
      </c>
      <c r="AG85" s="93">
        <f>IF(AQ85="2",BI85,0)</f>
        <v>0</v>
      </c>
      <c r="AH85" s="93">
        <f>IF(AQ85="0",BJ85,0)</f>
        <v>0</v>
      </c>
      <c r="AI85" s="71"/>
      <c r="AJ85" s="93">
        <f>IF(AN85=0,H85,0)</f>
        <v>0</v>
      </c>
      <c r="AK85" s="93">
        <f>IF(AN85=12,H85,0)</f>
        <v>0</v>
      </c>
      <c r="AL85" s="93">
        <f>IF(AN85=21,H85,0)</f>
        <v>0</v>
      </c>
      <c r="AN85" s="93">
        <v>21</v>
      </c>
      <c r="AO85" s="93">
        <f>G85*0</f>
        <v>0</v>
      </c>
      <c r="AP85" s="93">
        <f>G85*(1-0)</f>
        <v>0</v>
      </c>
      <c r="AQ85" s="95" t="s">
        <v>116</v>
      </c>
      <c r="AV85" s="93">
        <f>AW85+AX85</f>
        <v>0</v>
      </c>
      <c r="AW85" s="93">
        <f>F85*AO85</f>
        <v>0</v>
      </c>
      <c r="AX85" s="93">
        <f>F85*AP85</f>
        <v>0</v>
      </c>
      <c r="AY85" s="95" t="s">
        <v>198</v>
      </c>
      <c r="AZ85" s="95" t="s">
        <v>153</v>
      </c>
      <c r="BA85" s="71" t="s">
        <v>123</v>
      </c>
      <c r="BC85" s="93">
        <f>AW85+AX85</f>
        <v>0</v>
      </c>
      <c r="BD85" s="93">
        <f>G85/(100-BE85)*100</f>
        <v>0</v>
      </c>
      <c r="BE85" s="93">
        <v>0</v>
      </c>
      <c r="BF85" s="93">
        <f>J85</f>
        <v>0</v>
      </c>
      <c r="BH85" s="93">
        <f>F85*AO85</f>
        <v>0</v>
      </c>
      <c r="BI85" s="93">
        <f>F85*AP85</f>
        <v>0</v>
      </c>
      <c r="BJ85" s="93">
        <f>F85*G85</f>
        <v>0</v>
      </c>
      <c r="BK85" s="93"/>
      <c r="BL85" s="93">
        <v>62</v>
      </c>
      <c r="BW85" s="93">
        <v>21</v>
      </c>
    </row>
    <row r="86" spans="1:11" ht="15">
      <c r="A86" s="96"/>
      <c r="C86" s="98" t="s">
        <v>209</v>
      </c>
      <c r="D86" s="99"/>
      <c r="F86" s="100">
        <v>63.414</v>
      </c>
      <c r="K86" s="101"/>
    </row>
    <row r="87" spans="1:11" ht="15">
      <c r="A87" s="96"/>
      <c r="C87" s="98" t="s">
        <v>193</v>
      </c>
      <c r="D87" s="99"/>
      <c r="F87" s="100">
        <v>1.2065</v>
      </c>
      <c r="K87" s="101"/>
    </row>
    <row r="88" spans="1:75" ht="27" customHeight="1">
      <c r="A88" s="92" t="s">
        <v>225</v>
      </c>
      <c r="B88" s="10" t="s">
        <v>226</v>
      </c>
      <c r="C88" s="8" t="s">
        <v>227</v>
      </c>
      <c r="D88" s="8"/>
      <c r="E88" s="10" t="s">
        <v>135</v>
      </c>
      <c r="F88" s="93">
        <v>64.6205</v>
      </c>
      <c r="G88" s="93">
        <v>0</v>
      </c>
      <c r="H88" s="93">
        <f>F88*G88</f>
        <v>0</v>
      </c>
      <c r="I88" s="93">
        <v>0</v>
      </c>
      <c r="J88" s="93">
        <f>F88*I88</f>
        <v>0</v>
      </c>
      <c r="K88" s="94"/>
      <c r="Z88" s="93">
        <f>IF(AQ88="5",BJ88,0)</f>
        <v>0</v>
      </c>
      <c r="AB88" s="93">
        <f>IF(AQ88="1",BH88,0)</f>
        <v>0</v>
      </c>
      <c r="AC88" s="93">
        <f>IF(AQ88="1",BI88,0)</f>
        <v>0</v>
      </c>
      <c r="AD88" s="93">
        <f>IF(AQ88="7",BH88,0)</f>
        <v>0</v>
      </c>
      <c r="AE88" s="93">
        <f>IF(AQ88="7",BI88,0)</f>
        <v>0</v>
      </c>
      <c r="AF88" s="93">
        <f>IF(AQ88="2",BH88,0)</f>
        <v>0</v>
      </c>
      <c r="AG88" s="93">
        <f>IF(AQ88="2",BI88,0)</f>
        <v>0</v>
      </c>
      <c r="AH88" s="93">
        <f>IF(AQ88="0",BJ88,0)</f>
        <v>0</v>
      </c>
      <c r="AI88" s="71"/>
      <c r="AJ88" s="93">
        <f>IF(AN88=0,H88,0)</f>
        <v>0</v>
      </c>
      <c r="AK88" s="93">
        <f>IF(AN88=12,H88,0)</f>
        <v>0</v>
      </c>
      <c r="AL88" s="93">
        <f>IF(AN88=21,H88,0)</f>
        <v>0</v>
      </c>
      <c r="AN88" s="93">
        <v>21</v>
      </c>
      <c r="AO88" s="93">
        <f>G88*0</f>
        <v>0</v>
      </c>
      <c r="AP88" s="93">
        <f>G88*(1-0)</f>
        <v>0</v>
      </c>
      <c r="AQ88" s="95" t="s">
        <v>116</v>
      </c>
      <c r="AV88" s="93">
        <f>AW88+AX88</f>
        <v>0</v>
      </c>
      <c r="AW88" s="93">
        <f>F88*AO88</f>
        <v>0</v>
      </c>
      <c r="AX88" s="93">
        <f>F88*AP88</f>
        <v>0</v>
      </c>
      <c r="AY88" s="95" t="s">
        <v>198</v>
      </c>
      <c r="AZ88" s="95" t="s">
        <v>153</v>
      </c>
      <c r="BA88" s="71" t="s">
        <v>123</v>
      </c>
      <c r="BC88" s="93">
        <f>AW88+AX88</f>
        <v>0</v>
      </c>
      <c r="BD88" s="93">
        <f>G88/(100-BE88)*100</f>
        <v>0</v>
      </c>
      <c r="BE88" s="93">
        <v>0</v>
      </c>
      <c r="BF88" s="93">
        <f>J88</f>
        <v>0</v>
      </c>
      <c r="BH88" s="93">
        <f>F88*AO88</f>
        <v>0</v>
      </c>
      <c r="BI88" s="93">
        <f>F88*AP88</f>
        <v>0</v>
      </c>
      <c r="BJ88" s="93">
        <f>F88*G88</f>
        <v>0</v>
      </c>
      <c r="BK88" s="93"/>
      <c r="BL88" s="93">
        <v>62</v>
      </c>
      <c r="BW88" s="93">
        <v>21</v>
      </c>
    </row>
    <row r="89" spans="1:11" ht="15">
      <c r="A89" s="96"/>
      <c r="C89" s="98" t="s">
        <v>209</v>
      </c>
      <c r="D89" s="99"/>
      <c r="F89" s="100">
        <v>63.414</v>
      </c>
      <c r="K89" s="101"/>
    </row>
    <row r="90" spans="1:11" ht="15">
      <c r="A90" s="96"/>
      <c r="C90" s="98" t="s">
        <v>193</v>
      </c>
      <c r="D90" s="99"/>
      <c r="F90" s="100">
        <v>1.2065</v>
      </c>
      <c r="K90" s="101"/>
    </row>
    <row r="91" spans="1:75" ht="13.5" customHeight="1">
      <c r="A91" s="92" t="s">
        <v>228</v>
      </c>
      <c r="B91" s="10" t="s">
        <v>229</v>
      </c>
      <c r="C91" s="8" t="s">
        <v>230</v>
      </c>
      <c r="D91" s="8"/>
      <c r="E91" s="10" t="s">
        <v>135</v>
      </c>
      <c r="F91" s="93">
        <v>63.414</v>
      </c>
      <c r="G91" s="93">
        <v>0</v>
      </c>
      <c r="H91" s="93">
        <f>F91*G91</f>
        <v>0</v>
      </c>
      <c r="I91" s="93">
        <v>0.01682</v>
      </c>
      <c r="J91" s="93">
        <f>F91*I91</f>
        <v>1.06662348</v>
      </c>
      <c r="K91" s="94" t="s">
        <v>120</v>
      </c>
      <c r="Z91" s="93">
        <f>IF(AQ91="5",BJ91,0)</f>
        <v>0</v>
      </c>
      <c r="AB91" s="93">
        <f>IF(AQ91="1",BH91,0)</f>
        <v>0</v>
      </c>
      <c r="AC91" s="93">
        <f>IF(AQ91="1",BI91,0)</f>
        <v>0</v>
      </c>
      <c r="AD91" s="93">
        <f>IF(AQ91="7",BH91,0)</f>
        <v>0</v>
      </c>
      <c r="AE91" s="93">
        <f>IF(AQ91="7",BI91,0)</f>
        <v>0</v>
      </c>
      <c r="AF91" s="93">
        <f>IF(AQ91="2",BH91,0)</f>
        <v>0</v>
      </c>
      <c r="AG91" s="93">
        <f>IF(AQ91="2",BI91,0)</f>
        <v>0</v>
      </c>
      <c r="AH91" s="93">
        <f>IF(AQ91="0",BJ91,0)</f>
        <v>0</v>
      </c>
      <c r="AI91" s="71"/>
      <c r="AJ91" s="93">
        <f>IF(AN91=0,H91,0)</f>
        <v>0</v>
      </c>
      <c r="AK91" s="93">
        <f>IF(AN91=12,H91,0)</f>
        <v>0</v>
      </c>
      <c r="AL91" s="93">
        <f>IF(AN91=21,H91,0)</f>
        <v>0</v>
      </c>
      <c r="AN91" s="93">
        <v>21</v>
      </c>
      <c r="AO91" s="93">
        <f>G91*0.146407937</f>
        <v>0</v>
      </c>
      <c r="AP91" s="93">
        <f>G91*(1-0.146407937)</f>
        <v>0</v>
      </c>
      <c r="AQ91" s="95" t="s">
        <v>116</v>
      </c>
      <c r="AV91" s="93">
        <f>AW91+AX91</f>
        <v>0</v>
      </c>
      <c r="AW91" s="93">
        <f>F91*AO91</f>
        <v>0</v>
      </c>
      <c r="AX91" s="93">
        <f>F91*AP91</f>
        <v>0</v>
      </c>
      <c r="AY91" s="95" t="s">
        <v>198</v>
      </c>
      <c r="AZ91" s="95" t="s">
        <v>153</v>
      </c>
      <c r="BA91" s="71" t="s">
        <v>123</v>
      </c>
      <c r="BC91" s="93">
        <f>AW91+AX91</f>
        <v>0</v>
      </c>
      <c r="BD91" s="93">
        <f>G91/(100-BE91)*100</f>
        <v>0</v>
      </c>
      <c r="BE91" s="93">
        <v>0</v>
      </c>
      <c r="BF91" s="93">
        <f>J91</f>
        <v>1.06662348</v>
      </c>
      <c r="BH91" s="93">
        <f>F91*AO91</f>
        <v>0</v>
      </c>
      <c r="BI91" s="93">
        <f>F91*AP91</f>
        <v>0</v>
      </c>
      <c r="BJ91" s="93">
        <f>F91*G91</f>
        <v>0</v>
      </c>
      <c r="BK91" s="93"/>
      <c r="BL91" s="93">
        <v>62</v>
      </c>
      <c r="BW91" s="93">
        <v>21</v>
      </c>
    </row>
    <row r="92" spans="1:11" ht="15">
      <c r="A92" s="96"/>
      <c r="C92" s="98" t="s">
        <v>209</v>
      </c>
      <c r="D92" s="99"/>
      <c r="F92" s="100">
        <v>63.414</v>
      </c>
      <c r="K92" s="101"/>
    </row>
    <row r="93" spans="1:75" ht="13.5" customHeight="1">
      <c r="A93" s="92" t="s">
        <v>231</v>
      </c>
      <c r="B93" s="10" t="s">
        <v>232</v>
      </c>
      <c r="C93" s="8" t="s">
        <v>233</v>
      </c>
      <c r="D93" s="8"/>
      <c r="E93" s="10" t="s">
        <v>135</v>
      </c>
      <c r="F93" s="93">
        <v>190.58</v>
      </c>
      <c r="G93" s="93">
        <v>0</v>
      </c>
      <c r="H93" s="93">
        <f>F93*G93</f>
        <v>0</v>
      </c>
      <c r="I93" s="93">
        <v>4E-05</v>
      </c>
      <c r="J93" s="93">
        <f>F93*I93</f>
        <v>0.0076232</v>
      </c>
      <c r="K93" s="94" t="s">
        <v>120</v>
      </c>
      <c r="Z93" s="93">
        <f>IF(AQ93="5",BJ93,0)</f>
        <v>0</v>
      </c>
      <c r="AB93" s="93">
        <f>IF(AQ93="1",BH93,0)</f>
        <v>0</v>
      </c>
      <c r="AC93" s="93">
        <f>IF(AQ93="1",BI93,0)</f>
        <v>0</v>
      </c>
      <c r="AD93" s="93">
        <f>IF(AQ93="7",BH93,0)</f>
        <v>0</v>
      </c>
      <c r="AE93" s="93">
        <f>IF(AQ93="7",BI93,0)</f>
        <v>0</v>
      </c>
      <c r="AF93" s="93">
        <f>IF(AQ93="2",BH93,0)</f>
        <v>0</v>
      </c>
      <c r="AG93" s="93">
        <f>IF(AQ93="2",BI93,0)</f>
        <v>0</v>
      </c>
      <c r="AH93" s="93">
        <f>IF(AQ93="0",BJ93,0)</f>
        <v>0</v>
      </c>
      <c r="AI93" s="71"/>
      <c r="AJ93" s="93">
        <f>IF(AN93=0,H93,0)</f>
        <v>0</v>
      </c>
      <c r="AK93" s="93">
        <f>IF(AN93=12,H93,0)</f>
        <v>0</v>
      </c>
      <c r="AL93" s="93">
        <f>IF(AN93=21,H93,0)</f>
        <v>0</v>
      </c>
      <c r="AN93" s="93">
        <v>21</v>
      </c>
      <c r="AO93" s="93">
        <f>G93*0.335232614</f>
        <v>0</v>
      </c>
      <c r="AP93" s="93">
        <f>G93*(1-0.335232614)</f>
        <v>0</v>
      </c>
      <c r="AQ93" s="95" t="s">
        <v>116</v>
      </c>
      <c r="AV93" s="93">
        <f>AW93+AX93</f>
        <v>0</v>
      </c>
      <c r="AW93" s="93">
        <f>F93*AO93</f>
        <v>0</v>
      </c>
      <c r="AX93" s="93">
        <f>F93*AP93</f>
        <v>0</v>
      </c>
      <c r="AY93" s="95" t="s">
        <v>198</v>
      </c>
      <c r="AZ93" s="95" t="s">
        <v>153</v>
      </c>
      <c r="BA93" s="71" t="s">
        <v>123</v>
      </c>
      <c r="BC93" s="93">
        <f>AW93+AX93</f>
        <v>0</v>
      </c>
      <c r="BD93" s="93">
        <f>G93/(100-BE93)*100</f>
        <v>0</v>
      </c>
      <c r="BE93" s="93">
        <v>0</v>
      </c>
      <c r="BF93" s="93">
        <f>J93</f>
        <v>0.0076232</v>
      </c>
      <c r="BH93" s="93">
        <f>F93*AO93</f>
        <v>0</v>
      </c>
      <c r="BI93" s="93">
        <f>F93*AP93</f>
        <v>0</v>
      </c>
      <c r="BJ93" s="93">
        <f>F93*G93</f>
        <v>0</v>
      </c>
      <c r="BK93" s="93"/>
      <c r="BL93" s="93">
        <v>62</v>
      </c>
      <c r="BW93" s="93">
        <v>21</v>
      </c>
    </row>
    <row r="94" spans="1:11" ht="15">
      <c r="A94" s="96"/>
      <c r="C94" s="98" t="s">
        <v>169</v>
      </c>
      <c r="D94" s="99"/>
      <c r="F94" s="100">
        <v>40.94</v>
      </c>
      <c r="K94" s="101"/>
    </row>
    <row r="95" spans="1:11" ht="15">
      <c r="A95" s="96"/>
      <c r="C95" s="98" t="s">
        <v>170</v>
      </c>
      <c r="D95" s="99"/>
      <c r="F95" s="100">
        <v>108.71</v>
      </c>
      <c r="K95" s="101"/>
    </row>
    <row r="96" spans="1:11" ht="15">
      <c r="A96" s="96"/>
      <c r="C96" s="98" t="s">
        <v>171</v>
      </c>
      <c r="D96" s="99"/>
      <c r="F96" s="100">
        <v>40.93</v>
      </c>
      <c r="K96" s="101"/>
    </row>
    <row r="97" spans="1:75" ht="13.5" customHeight="1">
      <c r="A97" s="92" t="s">
        <v>234</v>
      </c>
      <c r="B97" s="10" t="s">
        <v>235</v>
      </c>
      <c r="C97" s="8" t="s">
        <v>236</v>
      </c>
      <c r="D97" s="8"/>
      <c r="E97" s="10" t="s">
        <v>135</v>
      </c>
      <c r="F97" s="93">
        <v>1.2065</v>
      </c>
      <c r="G97" s="93">
        <v>0</v>
      </c>
      <c r="H97" s="93">
        <f>F97*G97</f>
        <v>0</v>
      </c>
      <c r="I97" s="93">
        <v>0.04817</v>
      </c>
      <c r="J97" s="93">
        <f>F97*I97</f>
        <v>0.058117105</v>
      </c>
      <c r="K97" s="94" t="s">
        <v>120</v>
      </c>
      <c r="Z97" s="93">
        <f>IF(AQ97="5",BJ97,0)</f>
        <v>0</v>
      </c>
      <c r="AB97" s="93">
        <f>IF(AQ97="1",BH97,0)</f>
        <v>0</v>
      </c>
      <c r="AC97" s="93">
        <f>IF(AQ97="1",BI97,0)</f>
        <v>0</v>
      </c>
      <c r="AD97" s="93">
        <f>IF(AQ97="7",BH97,0)</f>
        <v>0</v>
      </c>
      <c r="AE97" s="93">
        <f>IF(AQ97="7",BI97,0)</f>
        <v>0</v>
      </c>
      <c r="AF97" s="93">
        <f>IF(AQ97="2",BH97,0)</f>
        <v>0</v>
      </c>
      <c r="AG97" s="93">
        <f>IF(AQ97="2",BI97,0)</f>
        <v>0</v>
      </c>
      <c r="AH97" s="93">
        <f>IF(AQ97="0",BJ97,0)</f>
        <v>0</v>
      </c>
      <c r="AI97" s="71"/>
      <c r="AJ97" s="93">
        <f>IF(AN97=0,H97,0)</f>
        <v>0</v>
      </c>
      <c r="AK97" s="93">
        <f>IF(AN97=12,H97,0)</f>
        <v>0</v>
      </c>
      <c r="AL97" s="93">
        <f>IF(AN97=21,H97,0)</f>
        <v>0</v>
      </c>
      <c r="AN97" s="93">
        <v>21</v>
      </c>
      <c r="AO97" s="93">
        <f>G97*0.136340104</f>
        <v>0</v>
      </c>
      <c r="AP97" s="93">
        <f>G97*(1-0.136340104)</f>
        <v>0</v>
      </c>
      <c r="AQ97" s="95" t="s">
        <v>116</v>
      </c>
      <c r="AV97" s="93">
        <f>AW97+AX97</f>
        <v>0</v>
      </c>
      <c r="AW97" s="93">
        <f>F97*AO97</f>
        <v>0</v>
      </c>
      <c r="AX97" s="93">
        <f>F97*AP97</f>
        <v>0</v>
      </c>
      <c r="AY97" s="95" t="s">
        <v>198</v>
      </c>
      <c r="AZ97" s="95" t="s">
        <v>153</v>
      </c>
      <c r="BA97" s="71" t="s">
        <v>123</v>
      </c>
      <c r="BC97" s="93">
        <f>AW97+AX97</f>
        <v>0</v>
      </c>
      <c r="BD97" s="93">
        <f>G97/(100-BE97)*100</f>
        <v>0</v>
      </c>
      <c r="BE97" s="93">
        <v>0</v>
      </c>
      <c r="BF97" s="93">
        <f>J97</f>
        <v>0.058117105</v>
      </c>
      <c r="BH97" s="93">
        <f>F97*AO97</f>
        <v>0</v>
      </c>
      <c r="BI97" s="93">
        <f>F97*AP97</f>
        <v>0</v>
      </c>
      <c r="BJ97" s="93">
        <f>F97*G97</f>
        <v>0</v>
      </c>
      <c r="BK97" s="93"/>
      <c r="BL97" s="93">
        <v>62</v>
      </c>
      <c r="BW97" s="93">
        <v>21</v>
      </c>
    </row>
    <row r="98" spans="1:11" ht="15">
      <c r="A98" s="96"/>
      <c r="C98" s="98" t="s">
        <v>193</v>
      </c>
      <c r="D98" s="99"/>
      <c r="F98" s="100">
        <v>1.2065</v>
      </c>
      <c r="K98" s="101"/>
    </row>
    <row r="99" spans="1:47" ht="15" customHeight="1">
      <c r="A99" s="87"/>
      <c r="B99" s="88" t="s">
        <v>237</v>
      </c>
      <c r="C99" s="89" t="s">
        <v>238</v>
      </c>
      <c r="D99" s="89"/>
      <c r="E99" s="90" t="s">
        <v>79</v>
      </c>
      <c r="F99" s="90" t="s">
        <v>79</v>
      </c>
      <c r="G99" s="90" t="s">
        <v>79</v>
      </c>
      <c r="H99" s="61">
        <f>SUM(H100:H100)</f>
        <v>0</v>
      </c>
      <c r="I99" s="71"/>
      <c r="J99" s="61">
        <f>SUM(J100:J100)</f>
        <v>2.524781</v>
      </c>
      <c r="K99" s="91"/>
      <c r="AI99" s="71"/>
      <c r="AS99" s="61">
        <f>SUM(AJ100:AJ100)</f>
        <v>0</v>
      </c>
      <c r="AT99" s="61">
        <f>SUM(AK100:AK100)</f>
        <v>0</v>
      </c>
      <c r="AU99" s="61">
        <f>SUM(AL100:AL100)</f>
        <v>0</v>
      </c>
    </row>
    <row r="100" spans="1:75" ht="13.5" customHeight="1">
      <c r="A100" s="92" t="s">
        <v>239</v>
      </c>
      <c r="B100" s="10" t="s">
        <v>240</v>
      </c>
      <c r="C100" s="8" t="s">
        <v>241</v>
      </c>
      <c r="D100" s="8"/>
      <c r="E100" s="10" t="s">
        <v>135</v>
      </c>
      <c r="F100" s="93">
        <v>20.51</v>
      </c>
      <c r="G100" s="93">
        <v>0</v>
      </c>
      <c r="H100" s="93">
        <f>F100*G100</f>
        <v>0</v>
      </c>
      <c r="I100" s="93">
        <v>0.1231</v>
      </c>
      <c r="J100" s="93">
        <f>F100*I100</f>
        <v>2.524781</v>
      </c>
      <c r="K100" s="94" t="s">
        <v>120</v>
      </c>
      <c r="Z100" s="93">
        <f>IF(AQ100="5",BJ100,0)</f>
        <v>0</v>
      </c>
      <c r="AB100" s="93">
        <f>IF(AQ100="1",BH100,0)</f>
        <v>0</v>
      </c>
      <c r="AC100" s="93">
        <f>IF(AQ100="1",BI100,0)</f>
        <v>0</v>
      </c>
      <c r="AD100" s="93">
        <f>IF(AQ100="7",BH100,0)</f>
        <v>0</v>
      </c>
      <c r="AE100" s="93">
        <f>IF(AQ100="7",BI100,0)</f>
        <v>0</v>
      </c>
      <c r="AF100" s="93">
        <f>IF(AQ100="2",BH100,0)</f>
        <v>0</v>
      </c>
      <c r="AG100" s="93">
        <f>IF(AQ100="2",BI100,0)</f>
        <v>0</v>
      </c>
      <c r="AH100" s="93">
        <f>IF(AQ100="0",BJ100,0)</f>
        <v>0</v>
      </c>
      <c r="AI100" s="71"/>
      <c r="AJ100" s="93">
        <f>IF(AN100=0,H100,0)</f>
        <v>0</v>
      </c>
      <c r="AK100" s="93">
        <f>IF(AN100=12,H100,0)</f>
        <v>0</v>
      </c>
      <c r="AL100" s="93">
        <f>IF(AN100=21,H100,0)</f>
        <v>0</v>
      </c>
      <c r="AN100" s="93">
        <v>21</v>
      </c>
      <c r="AO100" s="93">
        <f>G100*0.412630257</f>
        <v>0</v>
      </c>
      <c r="AP100" s="93">
        <f>G100*(1-0.412630257)</f>
        <v>0</v>
      </c>
      <c r="AQ100" s="95" t="s">
        <v>116</v>
      </c>
      <c r="AV100" s="93">
        <f>AW100+AX100</f>
        <v>0</v>
      </c>
      <c r="AW100" s="93">
        <f>F100*AO100</f>
        <v>0</v>
      </c>
      <c r="AX100" s="93">
        <f>F100*AP100</f>
        <v>0</v>
      </c>
      <c r="AY100" s="95" t="s">
        <v>242</v>
      </c>
      <c r="AZ100" s="95" t="s">
        <v>153</v>
      </c>
      <c r="BA100" s="71" t="s">
        <v>123</v>
      </c>
      <c r="BC100" s="93">
        <f>AW100+AX100</f>
        <v>0</v>
      </c>
      <c r="BD100" s="93">
        <f>G100/(100-BE100)*100</f>
        <v>0</v>
      </c>
      <c r="BE100" s="93">
        <v>0</v>
      </c>
      <c r="BF100" s="93">
        <f>J100</f>
        <v>2.524781</v>
      </c>
      <c r="BH100" s="93">
        <f>F100*AO100</f>
        <v>0</v>
      </c>
      <c r="BI100" s="93">
        <f>F100*AP100</f>
        <v>0</v>
      </c>
      <c r="BJ100" s="93">
        <f>F100*G100</f>
        <v>0</v>
      </c>
      <c r="BK100" s="93"/>
      <c r="BL100" s="93">
        <v>63</v>
      </c>
      <c r="BW100" s="93">
        <v>21</v>
      </c>
    </row>
    <row r="101" spans="1:11" ht="15">
      <c r="A101" s="96"/>
      <c r="C101" s="98" t="s">
        <v>243</v>
      </c>
      <c r="D101" s="99"/>
      <c r="F101" s="100">
        <v>20.51</v>
      </c>
      <c r="K101" s="101"/>
    </row>
    <row r="102" spans="1:47" ht="15" customHeight="1">
      <c r="A102" s="87"/>
      <c r="B102" s="88" t="s">
        <v>244</v>
      </c>
      <c r="C102" s="89" t="s">
        <v>245</v>
      </c>
      <c r="D102" s="89"/>
      <c r="E102" s="90" t="s">
        <v>79</v>
      </c>
      <c r="F102" s="90" t="s">
        <v>79</v>
      </c>
      <c r="G102" s="90" t="s">
        <v>79</v>
      </c>
      <c r="H102" s="61">
        <f>SUM(H103:H103)</f>
        <v>0</v>
      </c>
      <c r="I102" s="71"/>
      <c r="J102" s="61">
        <f>SUM(J103:J103)</f>
        <v>0.455589</v>
      </c>
      <c r="K102" s="91"/>
      <c r="AI102" s="71"/>
      <c r="AS102" s="61">
        <f>SUM(AJ103:AJ103)</f>
        <v>0</v>
      </c>
      <c r="AT102" s="61">
        <f>SUM(AK103:AK103)</f>
        <v>0</v>
      </c>
      <c r="AU102" s="61">
        <f>SUM(AL103:AL103)</f>
        <v>0</v>
      </c>
    </row>
    <row r="103" spans="1:75" ht="13.5" customHeight="1">
      <c r="A103" s="92" t="s">
        <v>246</v>
      </c>
      <c r="B103" s="10" t="s">
        <v>247</v>
      </c>
      <c r="C103" s="8" t="s">
        <v>248</v>
      </c>
      <c r="D103" s="8"/>
      <c r="E103" s="10" t="s">
        <v>175</v>
      </c>
      <c r="F103" s="93">
        <v>66.9</v>
      </c>
      <c r="G103" s="93">
        <v>0</v>
      </c>
      <c r="H103" s="93">
        <f>F103*G103</f>
        <v>0</v>
      </c>
      <c r="I103" s="93">
        <v>0.00681</v>
      </c>
      <c r="J103" s="93">
        <f>F103*I103</f>
        <v>0.455589</v>
      </c>
      <c r="K103" s="94" t="s">
        <v>120</v>
      </c>
      <c r="Z103" s="93">
        <f>IF(AQ103="5",BJ103,0)</f>
        <v>0</v>
      </c>
      <c r="AB103" s="93">
        <f>IF(AQ103="1",BH103,0)</f>
        <v>0</v>
      </c>
      <c r="AC103" s="93">
        <f>IF(AQ103="1",BI103,0)</f>
        <v>0</v>
      </c>
      <c r="AD103" s="93">
        <f>IF(AQ103="7",BH103,0)</f>
        <v>0</v>
      </c>
      <c r="AE103" s="93">
        <f>IF(AQ103="7",BI103,0)</f>
        <v>0</v>
      </c>
      <c r="AF103" s="93">
        <f>IF(AQ103="2",BH103,0)</f>
        <v>0</v>
      </c>
      <c r="AG103" s="93">
        <f>IF(AQ103="2",BI103,0)</f>
        <v>0</v>
      </c>
      <c r="AH103" s="93">
        <f>IF(AQ103="0",BJ103,0)</f>
        <v>0</v>
      </c>
      <c r="AI103" s="71"/>
      <c r="AJ103" s="93">
        <f>IF(AN103=0,H103,0)</f>
        <v>0</v>
      </c>
      <c r="AK103" s="93">
        <f>IF(AN103=12,H103,0)</f>
        <v>0</v>
      </c>
      <c r="AL103" s="93">
        <f>IF(AN103=21,H103,0)</f>
        <v>0</v>
      </c>
      <c r="AN103" s="93">
        <v>21</v>
      </c>
      <c r="AO103" s="93">
        <f>G103*0.617571189</f>
        <v>0</v>
      </c>
      <c r="AP103" s="93">
        <f>G103*(1-0.617571189)</f>
        <v>0</v>
      </c>
      <c r="AQ103" s="95" t="s">
        <v>116</v>
      </c>
      <c r="AV103" s="93">
        <f>AW103+AX103</f>
        <v>0</v>
      </c>
      <c r="AW103" s="93">
        <f>F103*AO103</f>
        <v>0</v>
      </c>
      <c r="AX103" s="93">
        <f>F103*AP103</f>
        <v>0</v>
      </c>
      <c r="AY103" s="95" t="s">
        <v>249</v>
      </c>
      <c r="AZ103" s="95" t="s">
        <v>153</v>
      </c>
      <c r="BA103" s="71" t="s">
        <v>123</v>
      </c>
      <c r="BC103" s="93">
        <f>AW103+AX103</f>
        <v>0</v>
      </c>
      <c r="BD103" s="93">
        <f>G103/(100-BE103)*100</f>
        <v>0</v>
      </c>
      <c r="BE103" s="93">
        <v>0</v>
      </c>
      <c r="BF103" s="93">
        <f>J103</f>
        <v>0.455589</v>
      </c>
      <c r="BH103" s="93">
        <f>F103*AO103</f>
        <v>0</v>
      </c>
      <c r="BI103" s="93">
        <f>F103*AP103</f>
        <v>0</v>
      </c>
      <c r="BJ103" s="93">
        <f>F103*G103</f>
        <v>0</v>
      </c>
      <c r="BK103" s="93"/>
      <c r="BL103" s="93">
        <v>64</v>
      </c>
      <c r="BW103" s="93">
        <v>21</v>
      </c>
    </row>
    <row r="104" spans="1:11" ht="13.5" customHeight="1">
      <c r="A104" s="96"/>
      <c r="C104" s="97" t="s">
        <v>250</v>
      </c>
      <c r="D104" s="97"/>
      <c r="E104" s="97"/>
      <c r="F104" s="97"/>
      <c r="G104" s="97"/>
      <c r="H104" s="97"/>
      <c r="I104" s="97"/>
      <c r="J104" s="97"/>
      <c r="K104" s="97"/>
    </row>
    <row r="105" spans="1:11" ht="15">
      <c r="A105" s="96"/>
      <c r="C105" s="98" t="s">
        <v>251</v>
      </c>
      <c r="D105" s="99"/>
      <c r="F105" s="100">
        <v>41.75</v>
      </c>
      <c r="K105" s="101"/>
    </row>
    <row r="106" spans="1:11" ht="15">
      <c r="A106" s="96"/>
      <c r="C106" s="98" t="s">
        <v>252</v>
      </c>
      <c r="D106" s="99"/>
      <c r="F106" s="100">
        <v>25.15</v>
      </c>
      <c r="K106" s="101"/>
    </row>
    <row r="107" spans="1:47" ht="15" customHeight="1">
      <c r="A107" s="87"/>
      <c r="B107" s="88" t="s">
        <v>253</v>
      </c>
      <c r="C107" s="89" t="s">
        <v>254</v>
      </c>
      <c r="D107" s="89"/>
      <c r="E107" s="90" t="s">
        <v>79</v>
      </c>
      <c r="F107" s="90" t="s">
        <v>79</v>
      </c>
      <c r="G107" s="90" t="s">
        <v>79</v>
      </c>
      <c r="H107" s="61">
        <f>SUM(H108:H108)</f>
        <v>0</v>
      </c>
      <c r="I107" s="71"/>
      <c r="J107" s="61">
        <f>SUM(J108:J108)</f>
        <v>0.0026785</v>
      </c>
      <c r="K107" s="91"/>
      <c r="AI107" s="71"/>
      <c r="AS107" s="61">
        <f>SUM(AJ108:AJ108)</f>
        <v>0</v>
      </c>
      <c r="AT107" s="61">
        <f>SUM(AK108:AK108)</f>
        <v>0</v>
      </c>
      <c r="AU107" s="61">
        <f>SUM(AL108:AL108)</f>
        <v>0</v>
      </c>
    </row>
    <row r="108" spans="1:75" ht="13.5" customHeight="1">
      <c r="A108" s="92" t="s">
        <v>255</v>
      </c>
      <c r="B108" s="10" t="s">
        <v>256</v>
      </c>
      <c r="C108" s="8" t="s">
        <v>257</v>
      </c>
      <c r="D108" s="8"/>
      <c r="E108" s="10" t="s">
        <v>135</v>
      </c>
      <c r="F108" s="93">
        <v>0.55</v>
      </c>
      <c r="G108" s="93">
        <v>0</v>
      </c>
      <c r="H108" s="93">
        <f>F108*G108</f>
        <v>0</v>
      </c>
      <c r="I108" s="93">
        <v>0.00487</v>
      </c>
      <c r="J108" s="93">
        <f>F108*I108</f>
        <v>0.0026785</v>
      </c>
      <c r="K108" s="94" t="s">
        <v>120</v>
      </c>
      <c r="Z108" s="93">
        <f>IF(AQ108="5",BJ108,0)</f>
        <v>0</v>
      </c>
      <c r="AB108" s="93">
        <f>IF(AQ108="1",BH108,0)</f>
        <v>0</v>
      </c>
      <c r="AC108" s="93">
        <f>IF(AQ108="1",BI108,0)</f>
        <v>0</v>
      </c>
      <c r="AD108" s="93">
        <f>IF(AQ108="7",BH108,0)</f>
        <v>0</v>
      </c>
      <c r="AE108" s="93">
        <f>IF(AQ108="7",BI108,0)</f>
        <v>0</v>
      </c>
      <c r="AF108" s="93">
        <f>IF(AQ108="2",BH108,0)</f>
        <v>0</v>
      </c>
      <c r="AG108" s="93">
        <f>IF(AQ108="2",BI108,0)</f>
        <v>0</v>
      </c>
      <c r="AH108" s="93">
        <f>IF(AQ108="0",BJ108,0)</f>
        <v>0</v>
      </c>
      <c r="AI108" s="71"/>
      <c r="AJ108" s="93">
        <f>IF(AN108=0,H108,0)</f>
        <v>0</v>
      </c>
      <c r="AK108" s="93">
        <f>IF(AN108=12,H108,0)</f>
        <v>0</v>
      </c>
      <c r="AL108" s="93">
        <f>IF(AN108=21,H108,0)</f>
        <v>0</v>
      </c>
      <c r="AN108" s="93">
        <v>21</v>
      </c>
      <c r="AO108" s="93">
        <f>G108*0.512128454</f>
        <v>0</v>
      </c>
      <c r="AP108" s="93">
        <f>G108*(1-0.512128454)</f>
        <v>0</v>
      </c>
      <c r="AQ108" s="95" t="s">
        <v>160</v>
      </c>
      <c r="AV108" s="93">
        <f>AW108+AX108</f>
        <v>0</v>
      </c>
      <c r="AW108" s="93">
        <f>F108*AO108</f>
        <v>0</v>
      </c>
      <c r="AX108" s="93">
        <f>F108*AP108</f>
        <v>0</v>
      </c>
      <c r="AY108" s="95" t="s">
        <v>258</v>
      </c>
      <c r="AZ108" s="95" t="s">
        <v>259</v>
      </c>
      <c r="BA108" s="71" t="s">
        <v>123</v>
      </c>
      <c r="BC108" s="93">
        <f>AW108+AX108</f>
        <v>0</v>
      </c>
      <c r="BD108" s="93">
        <f>G108/(100-BE108)*100</f>
        <v>0</v>
      </c>
      <c r="BE108" s="93">
        <v>0</v>
      </c>
      <c r="BF108" s="93">
        <f>J108</f>
        <v>0.0026785</v>
      </c>
      <c r="BH108" s="93">
        <f>F108*AO108</f>
        <v>0</v>
      </c>
      <c r="BI108" s="93">
        <f>F108*AP108</f>
        <v>0</v>
      </c>
      <c r="BJ108" s="93">
        <f>F108*G108</f>
        <v>0</v>
      </c>
      <c r="BK108" s="93"/>
      <c r="BL108" s="93">
        <v>711</v>
      </c>
      <c r="BW108" s="93">
        <v>21</v>
      </c>
    </row>
    <row r="109" spans="1:11" ht="13.5" customHeight="1">
      <c r="A109" s="96"/>
      <c r="C109" s="97" t="s">
        <v>260</v>
      </c>
      <c r="D109" s="97"/>
      <c r="E109" s="97"/>
      <c r="F109" s="97"/>
      <c r="G109" s="97"/>
      <c r="H109" s="97"/>
      <c r="I109" s="97"/>
      <c r="J109" s="97"/>
      <c r="K109" s="97"/>
    </row>
    <row r="110" spans="1:11" ht="15">
      <c r="A110" s="96"/>
      <c r="C110" s="98" t="s">
        <v>261</v>
      </c>
      <c r="D110" s="99"/>
      <c r="F110" s="100">
        <v>0.55</v>
      </c>
      <c r="K110" s="101"/>
    </row>
    <row r="111" spans="1:47" ht="15" customHeight="1">
      <c r="A111" s="87"/>
      <c r="B111" s="88" t="s">
        <v>262</v>
      </c>
      <c r="C111" s="89" t="s">
        <v>263</v>
      </c>
      <c r="D111" s="89"/>
      <c r="E111" s="90" t="s">
        <v>79</v>
      </c>
      <c r="F111" s="90" t="s">
        <v>79</v>
      </c>
      <c r="G111" s="90" t="s">
        <v>79</v>
      </c>
      <c r="H111" s="61">
        <f>SUM(H112:H132)</f>
        <v>0</v>
      </c>
      <c r="I111" s="71"/>
      <c r="J111" s="61">
        <f>SUM(J112:J132)</f>
        <v>0.4553644</v>
      </c>
      <c r="K111" s="91"/>
      <c r="AI111" s="71"/>
      <c r="AS111" s="61">
        <f>SUM(AJ112:AJ132)</f>
        <v>0</v>
      </c>
      <c r="AT111" s="61">
        <f>SUM(AK112:AK132)</f>
        <v>0</v>
      </c>
      <c r="AU111" s="61">
        <f>SUM(AL112:AL132)</f>
        <v>0</v>
      </c>
    </row>
    <row r="112" spans="1:75" ht="13.5" customHeight="1">
      <c r="A112" s="92" t="s">
        <v>264</v>
      </c>
      <c r="B112" s="10" t="s">
        <v>265</v>
      </c>
      <c r="C112" s="8" t="s">
        <v>266</v>
      </c>
      <c r="D112" s="8"/>
      <c r="E112" s="10" t="s">
        <v>175</v>
      </c>
      <c r="F112" s="93">
        <v>82.04</v>
      </c>
      <c r="G112" s="93">
        <v>0</v>
      </c>
      <c r="H112" s="93">
        <f>F112*G112</f>
        <v>0</v>
      </c>
      <c r="I112" s="93">
        <v>0.00135</v>
      </c>
      <c r="J112" s="93">
        <f>F112*I112</f>
        <v>0.110754</v>
      </c>
      <c r="K112" s="94" t="s">
        <v>120</v>
      </c>
      <c r="Z112" s="93">
        <f>IF(AQ112="5",BJ112,0)</f>
        <v>0</v>
      </c>
      <c r="AB112" s="93">
        <f>IF(AQ112="1",BH112,0)</f>
        <v>0</v>
      </c>
      <c r="AC112" s="93">
        <f>IF(AQ112="1",BI112,0)</f>
        <v>0</v>
      </c>
      <c r="AD112" s="93">
        <f>IF(AQ112="7",BH112,0)</f>
        <v>0</v>
      </c>
      <c r="AE112" s="93">
        <f>IF(AQ112="7",BI112,0)</f>
        <v>0</v>
      </c>
      <c r="AF112" s="93">
        <f>IF(AQ112="2",BH112,0)</f>
        <v>0</v>
      </c>
      <c r="AG112" s="93">
        <f>IF(AQ112="2",BI112,0)</f>
        <v>0</v>
      </c>
      <c r="AH112" s="93">
        <f>IF(AQ112="0",BJ112,0)</f>
        <v>0</v>
      </c>
      <c r="AI112" s="71"/>
      <c r="AJ112" s="93">
        <f>IF(AN112=0,H112,0)</f>
        <v>0</v>
      </c>
      <c r="AK112" s="93">
        <f>IF(AN112=12,H112,0)</f>
        <v>0</v>
      </c>
      <c r="AL112" s="93">
        <f>IF(AN112=21,H112,0)</f>
        <v>0</v>
      </c>
      <c r="AN112" s="93">
        <v>21</v>
      </c>
      <c r="AO112" s="93">
        <f>G112*0</f>
        <v>0</v>
      </c>
      <c r="AP112" s="93">
        <f>G112*(1-0)</f>
        <v>0</v>
      </c>
      <c r="AQ112" s="95" t="s">
        <v>160</v>
      </c>
      <c r="AV112" s="93">
        <f>AW112+AX112</f>
        <v>0</v>
      </c>
      <c r="AW112" s="93">
        <f>F112*AO112</f>
        <v>0</v>
      </c>
      <c r="AX112" s="93">
        <f>F112*AP112</f>
        <v>0</v>
      </c>
      <c r="AY112" s="95" t="s">
        <v>267</v>
      </c>
      <c r="AZ112" s="95" t="s">
        <v>268</v>
      </c>
      <c r="BA112" s="71" t="s">
        <v>123</v>
      </c>
      <c r="BC112" s="93">
        <f>AW112+AX112</f>
        <v>0</v>
      </c>
      <c r="BD112" s="93">
        <f>G112/(100-BE112)*100</f>
        <v>0</v>
      </c>
      <c r="BE112" s="93">
        <v>0</v>
      </c>
      <c r="BF112" s="93">
        <f>J112</f>
        <v>0.110754</v>
      </c>
      <c r="BH112" s="93">
        <f>F112*AO112</f>
        <v>0</v>
      </c>
      <c r="BI112" s="93">
        <f>F112*AP112</f>
        <v>0</v>
      </c>
      <c r="BJ112" s="93">
        <f>F112*G112</f>
        <v>0</v>
      </c>
      <c r="BK112" s="93"/>
      <c r="BL112" s="93">
        <v>764</v>
      </c>
      <c r="BW112" s="93">
        <v>21</v>
      </c>
    </row>
    <row r="113" spans="1:11" ht="15">
      <c r="A113" s="96"/>
      <c r="C113" s="98" t="s">
        <v>269</v>
      </c>
      <c r="D113" s="99"/>
      <c r="F113" s="100">
        <v>9.18</v>
      </c>
      <c r="K113" s="101"/>
    </row>
    <row r="114" spans="1:11" ht="15">
      <c r="A114" s="96"/>
      <c r="C114" s="98" t="s">
        <v>270</v>
      </c>
      <c r="D114" s="99"/>
      <c r="F114" s="100">
        <v>72.86</v>
      </c>
      <c r="K114" s="101"/>
    </row>
    <row r="115" spans="1:75" ht="13.5" customHeight="1">
      <c r="A115" s="92" t="s">
        <v>271</v>
      </c>
      <c r="B115" s="10" t="s">
        <v>272</v>
      </c>
      <c r="C115" s="8" t="s">
        <v>273</v>
      </c>
      <c r="D115" s="8"/>
      <c r="E115" s="10" t="s">
        <v>175</v>
      </c>
      <c r="F115" s="93">
        <v>8.5</v>
      </c>
      <c r="G115" s="93">
        <v>0</v>
      </c>
      <c r="H115" s="93">
        <f>F115*G115</f>
        <v>0</v>
      </c>
      <c r="I115" s="93">
        <v>0.00316</v>
      </c>
      <c r="J115" s="93">
        <f>F115*I115</f>
        <v>0.02686</v>
      </c>
      <c r="K115" s="94" t="s">
        <v>120</v>
      </c>
      <c r="Z115" s="93">
        <f>IF(AQ115="5",BJ115,0)</f>
        <v>0</v>
      </c>
      <c r="AB115" s="93">
        <f>IF(AQ115="1",BH115,0)</f>
        <v>0</v>
      </c>
      <c r="AC115" s="93">
        <f>IF(AQ115="1",BI115,0)</f>
        <v>0</v>
      </c>
      <c r="AD115" s="93">
        <f>IF(AQ115="7",BH115,0)</f>
        <v>0</v>
      </c>
      <c r="AE115" s="93">
        <f>IF(AQ115="7",BI115,0)</f>
        <v>0</v>
      </c>
      <c r="AF115" s="93">
        <f>IF(AQ115="2",BH115,0)</f>
        <v>0</v>
      </c>
      <c r="AG115" s="93">
        <f>IF(AQ115="2",BI115,0)</f>
        <v>0</v>
      </c>
      <c r="AH115" s="93">
        <f>IF(AQ115="0",BJ115,0)</f>
        <v>0</v>
      </c>
      <c r="AI115" s="71"/>
      <c r="AJ115" s="93">
        <f>IF(AN115=0,H115,0)</f>
        <v>0</v>
      </c>
      <c r="AK115" s="93">
        <f>IF(AN115=12,H115,0)</f>
        <v>0</v>
      </c>
      <c r="AL115" s="93">
        <f>IF(AN115=21,H115,0)</f>
        <v>0</v>
      </c>
      <c r="AN115" s="93">
        <v>21</v>
      </c>
      <c r="AO115" s="93">
        <f>G115*0.517679558</f>
        <v>0</v>
      </c>
      <c r="AP115" s="93">
        <f>G115*(1-0.517679558)</f>
        <v>0</v>
      </c>
      <c r="AQ115" s="95" t="s">
        <v>160</v>
      </c>
      <c r="AV115" s="93">
        <f>AW115+AX115</f>
        <v>0</v>
      </c>
      <c r="AW115" s="93">
        <f>F115*AO115</f>
        <v>0</v>
      </c>
      <c r="AX115" s="93">
        <f>F115*AP115</f>
        <v>0</v>
      </c>
      <c r="AY115" s="95" t="s">
        <v>267</v>
      </c>
      <c r="AZ115" s="95" t="s">
        <v>268</v>
      </c>
      <c r="BA115" s="71" t="s">
        <v>123</v>
      </c>
      <c r="BC115" s="93">
        <f>AW115+AX115</f>
        <v>0</v>
      </c>
      <c r="BD115" s="93">
        <f>G115/(100-BE115)*100</f>
        <v>0</v>
      </c>
      <c r="BE115" s="93">
        <v>0</v>
      </c>
      <c r="BF115" s="93">
        <f>J115</f>
        <v>0.02686</v>
      </c>
      <c r="BH115" s="93">
        <f>F115*AO115</f>
        <v>0</v>
      </c>
      <c r="BI115" s="93">
        <f>F115*AP115</f>
        <v>0</v>
      </c>
      <c r="BJ115" s="93">
        <f>F115*G115</f>
        <v>0</v>
      </c>
      <c r="BK115" s="93"/>
      <c r="BL115" s="93">
        <v>764</v>
      </c>
      <c r="BW115" s="93">
        <v>21</v>
      </c>
    </row>
    <row r="116" spans="1:11" ht="13.5" customHeight="1">
      <c r="A116" s="96"/>
      <c r="C116" s="97" t="s">
        <v>274</v>
      </c>
      <c r="D116" s="97"/>
      <c r="E116" s="97"/>
      <c r="F116" s="97"/>
      <c r="G116" s="97"/>
      <c r="H116" s="97"/>
      <c r="I116" s="97"/>
      <c r="J116" s="97"/>
      <c r="K116" s="97"/>
    </row>
    <row r="117" spans="1:11" ht="15">
      <c r="A117" s="96"/>
      <c r="C117" s="98" t="s">
        <v>275</v>
      </c>
      <c r="D117" s="99"/>
      <c r="F117" s="100">
        <v>8.5</v>
      </c>
      <c r="K117" s="101"/>
    </row>
    <row r="118" spans="1:75" ht="13.5" customHeight="1">
      <c r="A118" s="92" t="s">
        <v>276</v>
      </c>
      <c r="B118" s="10" t="s">
        <v>277</v>
      </c>
      <c r="C118" s="8" t="s">
        <v>278</v>
      </c>
      <c r="D118" s="8"/>
      <c r="E118" s="10" t="s">
        <v>175</v>
      </c>
      <c r="F118" s="93">
        <v>10.66</v>
      </c>
      <c r="G118" s="93">
        <v>0</v>
      </c>
      <c r="H118" s="93">
        <f>F118*G118</f>
        <v>0</v>
      </c>
      <c r="I118" s="93">
        <v>0.00339</v>
      </c>
      <c r="J118" s="93">
        <f>F118*I118</f>
        <v>0.0361374</v>
      </c>
      <c r="K118" s="94" t="s">
        <v>120</v>
      </c>
      <c r="Z118" s="93">
        <f>IF(AQ118="5",BJ118,0)</f>
        <v>0</v>
      </c>
      <c r="AB118" s="93">
        <f>IF(AQ118="1",BH118,0)</f>
        <v>0</v>
      </c>
      <c r="AC118" s="93">
        <f>IF(AQ118="1",BI118,0)</f>
        <v>0</v>
      </c>
      <c r="AD118" s="93">
        <f>IF(AQ118="7",BH118,0)</f>
        <v>0</v>
      </c>
      <c r="AE118" s="93">
        <f>IF(AQ118="7",BI118,0)</f>
        <v>0</v>
      </c>
      <c r="AF118" s="93">
        <f>IF(AQ118="2",BH118,0)</f>
        <v>0</v>
      </c>
      <c r="AG118" s="93">
        <f>IF(AQ118="2",BI118,0)</f>
        <v>0</v>
      </c>
      <c r="AH118" s="93">
        <f>IF(AQ118="0",BJ118,0)</f>
        <v>0</v>
      </c>
      <c r="AI118" s="71"/>
      <c r="AJ118" s="93">
        <f>IF(AN118=0,H118,0)</f>
        <v>0</v>
      </c>
      <c r="AK118" s="93">
        <f>IF(AN118=12,H118,0)</f>
        <v>0</v>
      </c>
      <c r="AL118" s="93">
        <f>IF(AN118=21,H118,0)</f>
        <v>0</v>
      </c>
      <c r="AN118" s="93">
        <v>21</v>
      </c>
      <c r="AO118" s="93">
        <f>G118*0.558619835</f>
        <v>0</v>
      </c>
      <c r="AP118" s="93">
        <f>G118*(1-0.558619835)</f>
        <v>0</v>
      </c>
      <c r="AQ118" s="95" t="s">
        <v>160</v>
      </c>
      <c r="AV118" s="93">
        <f>AW118+AX118</f>
        <v>0</v>
      </c>
      <c r="AW118" s="93">
        <f>F118*AO118</f>
        <v>0</v>
      </c>
      <c r="AX118" s="93">
        <f>F118*AP118</f>
        <v>0</v>
      </c>
      <c r="AY118" s="95" t="s">
        <v>267</v>
      </c>
      <c r="AZ118" s="95" t="s">
        <v>268</v>
      </c>
      <c r="BA118" s="71" t="s">
        <v>123</v>
      </c>
      <c r="BC118" s="93">
        <f>AW118+AX118</f>
        <v>0</v>
      </c>
      <c r="BD118" s="93">
        <f>G118/(100-BE118)*100</f>
        <v>0</v>
      </c>
      <c r="BE118" s="93">
        <v>0</v>
      </c>
      <c r="BF118" s="93">
        <f>J118</f>
        <v>0.0361374</v>
      </c>
      <c r="BH118" s="93">
        <f>F118*AO118</f>
        <v>0</v>
      </c>
      <c r="BI118" s="93">
        <f>F118*AP118</f>
        <v>0</v>
      </c>
      <c r="BJ118" s="93">
        <f>F118*G118</f>
        <v>0</v>
      </c>
      <c r="BK118" s="93"/>
      <c r="BL118" s="93">
        <v>764</v>
      </c>
      <c r="BW118" s="93">
        <v>21</v>
      </c>
    </row>
    <row r="119" spans="1:11" ht="13.5" customHeight="1">
      <c r="A119" s="96"/>
      <c r="C119" s="97" t="s">
        <v>279</v>
      </c>
      <c r="D119" s="97"/>
      <c r="E119" s="97"/>
      <c r="F119" s="97"/>
      <c r="G119" s="97"/>
      <c r="H119" s="97"/>
      <c r="I119" s="97"/>
      <c r="J119" s="97"/>
      <c r="K119" s="97"/>
    </row>
    <row r="120" spans="1:11" ht="15">
      <c r="A120" s="96"/>
      <c r="C120" s="98" t="s">
        <v>280</v>
      </c>
      <c r="D120" s="99"/>
      <c r="F120" s="100">
        <v>8.26</v>
      </c>
      <c r="K120" s="101"/>
    </row>
    <row r="121" spans="1:11" ht="15">
      <c r="A121" s="96"/>
      <c r="C121" s="98" t="s">
        <v>281</v>
      </c>
      <c r="D121" s="99"/>
      <c r="F121" s="100">
        <v>2.4</v>
      </c>
      <c r="K121" s="101"/>
    </row>
    <row r="122" spans="1:75" ht="13.5" customHeight="1">
      <c r="A122" s="92" t="s">
        <v>282</v>
      </c>
      <c r="B122" s="10" t="s">
        <v>283</v>
      </c>
      <c r="C122" s="8" t="s">
        <v>284</v>
      </c>
      <c r="D122" s="8"/>
      <c r="E122" s="10" t="s">
        <v>175</v>
      </c>
      <c r="F122" s="93">
        <v>2</v>
      </c>
      <c r="G122" s="93">
        <v>0</v>
      </c>
      <c r="H122" s="93">
        <f>F122*G122</f>
        <v>0</v>
      </c>
      <c r="I122" s="93">
        <v>0.00369</v>
      </c>
      <c r="J122" s="93">
        <f>F122*I122</f>
        <v>0.00738</v>
      </c>
      <c r="K122" s="94" t="s">
        <v>120</v>
      </c>
      <c r="Z122" s="93">
        <f>IF(AQ122="5",BJ122,0)</f>
        <v>0</v>
      </c>
      <c r="AB122" s="93">
        <f>IF(AQ122="1",BH122,0)</f>
        <v>0</v>
      </c>
      <c r="AC122" s="93">
        <f>IF(AQ122="1",BI122,0)</f>
        <v>0</v>
      </c>
      <c r="AD122" s="93">
        <f>IF(AQ122="7",BH122,0)</f>
        <v>0</v>
      </c>
      <c r="AE122" s="93">
        <f>IF(AQ122="7",BI122,0)</f>
        <v>0</v>
      </c>
      <c r="AF122" s="93">
        <f>IF(AQ122="2",BH122,0)</f>
        <v>0</v>
      </c>
      <c r="AG122" s="93">
        <f>IF(AQ122="2",BI122,0)</f>
        <v>0</v>
      </c>
      <c r="AH122" s="93">
        <f>IF(AQ122="0",BJ122,0)</f>
        <v>0</v>
      </c>
      <c r="AI122" s="71"/>
      <c r="AJ122" s="93">
        <f>IF(AN122=0,H122,0)</f>
        <v>0</v>
      </c>
      <c r="AK122" s="93">
        <f>IF(AN122=12,H122,0)</f>
        <v>0</v>
      </c>
      <c r="AL122" s="93">
        <f>IF(AN122=21,H122,0)</f>
        <v>0</v>
      </c>
      <c r="AN122" s="93">
        <v>21</v>
      </c>
      <c r="AO122" s="93">
        <f>G122*0.601052632</f>
        <v>0</v>
      </c>
      <c r="AP122" s="93">
        <f>G122*(1-0.601052632)</f>
        <v>0</v>
      </c>
      <c r="AQ122" s="95" t="s">
        <v>160</v>
      </c>
      <c r="AV122" s="93">
        <f>AW122+AX122</f>
        <v>0</v>
      </c>
      <c r="AW122" s="93">
        <f>F122*AO122</f>
        <v>0</v>
      </c>
      <c r="AX122" s="93">
        <f>F122*AP122</f>
        <v>0</v>
      </c>
      <c r="AY122" s="95" t="s">
        <v>267</v>
      </c>
      <c r="AZ122" s="95" t="s">
        <v>268</v>
      </c>
      <c r="BA122" s="71" t="s">
        <v>123</v>
      </c>
      <c r="BC122" s="93">
        <f>AW122+AX122</f>
        <v>0</v>
      </c>
      <c r="BD122" s="93">
        <f>G122/(100-BE122)*100</f>
        <v>0</v>
      </c>
      <c r="BE122" s="93">
        <v>0</v>
      </c>
      <c r="BF122" s="93">
        <f>J122</f>
        <v>0.00738</v>
      </c>
      <c r="BH122" s="93">
        <f>F122*AO122</f>
        <v>0</v>
      </c>
      <c r="BI122" s="93">
        <f>F122*AP122</f>
        <v>0</v>
      </c>
      <c r="BJ122" s="93">
        <f>F122*G122</f>
        <v>0</v>
      </c>
      <c r="BK122" s="93"/>
      <c r="BL122" s="93">
        <v>764</v>
      </c>
      <c r="BW122" s="93">
        <v>21</v>
      </c>
    </row>
    <row r="123" spans="1:11" ht="15">
      <c r="A123" s="96"/>
      <c r="C123" s="98" t="s">
        <v>285</v>
      </c>
      <c r="D123" s="99"/>
      <c r="F123" s="100">
        <v>2</v>
      </c>
      <c r="K123" s="101"/>
    </row>
    <row r="124" spans="1:75" ht="13.5" customHeight="1">
      <c r="A124" s="92" t="s">
        <v>286</v>
      </c>
      <c r="B124" s="10" t="s">
        <v>287</v>
      </c>
      <c r="C124" s="8" t="s">
        <v>288</v>
      </c>
      <c r="D124" s="8"/>
      <c r="E124" s="10" t="s">
        <v>175</v>
      </c>
      <c r="F124" s="93">
        <v>42.5</v>
      </c>
      <c r="G124" s="93">
        <v>0</v>
      </c>
      <c r="H124" s="93">
        <f>F124*G124</f>
        <v>0</v>
      </c>
      <c r="I124" s="93">
        <v>0.00416</v>
      </c>
      <c r="J124" s="93">
        <f>F124*I124</f>
        <v>0.1768</v>
      </c>
      <c r="K124" s="94" t="s">
        <v>120</v>
      </c>
      <c r="Z124" s="93">
        <f>IF(AQ124="5",BJ124,0)</f>
        <v>0</v>
      </c>
      <c r="AB124" s="93">
        <f>IF(AQ124="1",BH124,0)</f>
        <v>0</v>
      </c>
      <c r="AC124" s="93">
        <f>IF(AQ124="1",BI124,0)</f>
        <v>0</v>
      </c>
      <c r="AD124" s="93">
        <f>IF(AQ124="7",BH124,0)</f>
        <v>0</v>
      </c>
      <c r="AE124" s="93">
        <f>IF(AQ124="7",BI124,0)</f>
        <v>0</v>
      </c>
      <c r="AF124" s="93">
        <f>IF(AQ124="2",BH124,0)</f>
        <v>0</v>
      </c>
      <c r="AG124" s="93">
        <f>IF(AQ124="2",BI124,0)</f>
        <v>0</v>
      </c>
      <c r="AH124" s="93">
        <f>IF(AQ124="0",BJ124,0)</f>
        <v>0</v>
      </c>
      <c r="AI124" s="71"/>
      <c r="AJ124" s="93">
        <f>IF(AN124=0,H124,0)</f>
        <v>0</v>
      </c>
      <c r="AK124" s="93">
        <f>IF(AN124=12,H124,0)</f>
        <v>0</v>
      </c>
      <c r="AL124" s="93">
        <f>IF(AN124=21,H124,0)</f>
        <v>0</v>
      </c>
      <c r="AN124" s="93">
        <v>21</v>
      </c>
      <c r="AO124" s="93">
        <f>G124*0.653916822</f>
        <v>0</v>
      </c>
      <c r="AP124" s="93">
        <f>G124*(1-0.653916822)</f>
        <v>0</v>
      </c>
      <c r="AQ124" s="95" t="s">
        <v>160</v>
      </c>
      <c r="AV124" s="93">
        <f>AW124+AX124</f>
        <v>0</v>
      </c>
      <c r="AW124" s="93">
        <f>F124*AO124</f>
        <v>0</v>
      </c>
      <c r="AX124" s="93">
        <f>F124*AP124</f>
        <v>0</v>
      </c>
      <c r="AY124" s="95" t="s">
        <v>267</v>
      </c>
      <c r="AZ124" s="95" t="s">
        <v>268</v>
      </c>
      <c r="BA124" s="71" t="s">
        <v>123</v>
      </c>
      <c r="BC124" s="93">
        <f>AW124+AX124</f>
        <v>0</v>
      </c>
      <c r="BD124" s="93">
        <f>G124/(100-BE124)*100</f>
        <v>0</v>
      </c>
      <c r="BE124" s="93">
        <v>0</v>
      </c>
      <c r="BF124" s="93">
        <f>J124</f>
        <v>0.1768</v>
      </c>
      <c r="BH124" s="93">
        <f>F124*AO124</f>
        <v>0</v>
      </c>
      <c r="BI124" s="93">
        <f>F124*AP124</f>
        <v>0</v>
      </c>
      <c r="BJ124" s="93">
        <f>F124*G124</f>
        <v>0</v>
      </c>
      <c r="BK124" s="93"/>
      <c r="BL124" s="93">
        <v>764</v>
      </c>
      <c r="BW124" s="93">
        <v>21</v>
      </c>
    </row>
    <row r="125" spans="1:11" ht="15">
      <c r="A125" s="96"/>
      <c r="C125" s="98" t="s">
        <v>289</v>
      </c>
      <c r="D125" s="99"/>
      <c r="F125" s="100">
        <v>21.8</v>
      </c>
      <c r="K125" s="101"/>
    </row>
    <row r="126" spans="1:11" ht="15">
      <c r="A126" s="96"/>
      <c r="C126" s="98" t="s">
        <v>290</v>
      </c>
      <c r="D126" s="99"/>
      <c r="F126" s="100">
        <v>19.1</v>
      </c>
      <c r="K126" s="101"/>
    </row>
    <row r="127" spans="1:11" ht="15">
      <c r="A127" s="96"/>
      <c r="C127" s="98" t="s">
        <v>291</v>
      </c>
      <c r="D127" s="99"/>
      <c r="F127" s="100">
        <v>1.6</v>
      </c>
      <c r="K127" s="101"/>
    </row>
    <row r="128" spans="1:75" ht="13.5" customHeight="1">
      <c r="A128" s="92" t="s">
        <v>292</v>
      </c>
      <c r="B128" s="10" t="s">
        <v>293</v>
      </c>
      <c r="C128" s="8" t="s">
        <v>294</v>
      </c>
      <c r="D128" s="8"/>
      <c r="E128" s="10" t="s">
        <v>175</v>
      </c>
      <c r="F128" s="93">
        <v>18</v>
      </c>
      <c r="G128" s="93">
        <v>0</v>
      </c>
      <c r="H128" s="93">
        <f>F128*G128</f>
        <v>0</v>
      </c>
      <c r="I128" s="93">
        <v>0.00458</v>
      </c>
      <c r="J128" s="93">
        <f>F128*I128</f>
        <v>0.08244</v>
      </c>
      <c r="K128" s="94" t="s">
        <v>120</v>
      </c>
      <c r="Z128" s="93">
        <f>IF(AQ128="5",BJ128,0)</f>
        <v>0</v>
      </c>
      <c r="AB128" s="93">
        <f>IF(AQ128="1",BH128,0)</f>
        <v>0</v>
      </c>
      <c r="AC128" s="93">
        <f>IF(AQ128="1",BI128,0)</f>
        <v>0</v>
      </c>
      <c r="AD128" s="93">
        <f>IF(AQ128="7",BH128,0)</f>
        <v>0</v>
      </c>
      <c r="AE128" s="93">
        <f>IF(AQ128="7",BI128,0)</f>
        <v>0</v>
      </c>
      <c r="AF128" s="93">
        <f>IF(AQ128="2",BH128,0)</f>
        <v>0</v>
      </c>
      <c r="AG128" s="93">
        <f>IF(AQ128="2",BI128,0)</f>
        <v>0</v>
      </c>
      <c r="AH128" s="93">
        <f>IF(AQ128="0",BJ128,0)</f>
        <v>0</v>
      </c>
      <c r="AI128" s="71"/>
      <c r="AJ128" s="93">
        <f>IF(AN128=0,H128,0)</f>
        <v>0</v>
      </c>
      <c r="AK128" s="93">
        <f>IF(AN128=12,H128,0)</f>
        <v>0</v>
      </c>
      <c r="AL128" s="93">
        <f>IF(AN128=21,H128,0)</f>
        <v>0</v>
      </c>
      <c r="AN128" s="93">
        <v>21</v>
      </c>
      <c r="AO128" s="93">
        <f>G128*0.683981532</f>
        <v>0</v>
      </c>
      <c r="AP128" s="93">
        <f>G128*(1-0.683981532)</f>
        <v>0</v>
      </c>
      <c r="AQ128" s="95" t="s">
        <v>160</v>
      </c>
      <c r="AV128" s="93">
        <f>AW128+AX128</f>
        <v>0</v>
      </c>
      <c r="AW128" s="93">
        <f>F128*AO128</f>
        <v>0</v>
      </c>
      <c r="AX128" s="93">
        <f>F128*AP128</f>
        <v>0</v>
      </c>
      <c r="AY128" s="95" t="s">
        <v>267</v>
      </c>
      <c r="AZ128" s="95" t="s">
        <v>268</v>
      </c>
      <c r="BA128" s="71" t="s">
        <v>123</v>
      </c>
      <c r="BC128" s="93">
        <f>AW128+AX128</f>
        <v>0</v>
      </c>
      <c r="BD128" s="93">
        <f>G128/(100-BE128)*100</f>
        <v>0</v>
      </c>
      <c r="BE128" s="93">
        <v>0</v>
      </c>
      <c r="BF128" s="93">
        <f>J128</f>
        <v>0.08244</v>
      </c>
      <c r="BH128" s="93">
        <f>F128*AO128</f>
        <v>0</v>
      </c>
      <c r="BI128" s="93">
        <f>F128*AP128</f>
        <v>0</v>
      </c>
      <c r="BJ128" s="93">
        <f>F128*G128</f>
        <v>0</v>
      </c>
      <c r="BK128" s="93"/>
      <c r="BL128" s="93">
        <v>764</v>
      </c>
      <c r="BW128" s="93">
        <v>21</v>
      </c>
    </row>
    <row r="129" spans="1:11" ht="15">
      <c r="A129" s="96"/>
      <c r="C129" s="98" t="s">
        <v>295</v>
      </c>
      <c r="D129" s="99"/>
      <c r="F129" s="100">
        <v>18</v>
      </c>
      <c r="K129" s="101"/>
    </row>
    <row r="130" spans="1:75" ht="27" customHeight="1">
      <c r="A130" s="92" t="s">
        <v>114</v>
      </c>
      <c r="B130" s="10" t="s">
        <v>296</v>
      </c>
      <c r="C130" s="8" t="s">
        <v>297</v>
      </c>
      <c r="D130" s="8"/>
      <c r="E130" s="10" t="s">
        <v>175</v>
      </c>
      <c r="F130" s="93">
        <v>2.9</v>
      </c>
      <c r="G130" s="93">
        <v>0</v>
      </c>
      <c r="H130" s="93">
        <f>F130*G130</f>
        <v>0</v>
      </c>
      <c r="I130" s="93">
        <v>0.00517</v>
      </c>
      <c r="J130" s="93">
        <f>F130*I130</f>
        <v>0.014993</v>
      </c>
      <c r="K130" s="94" t="s">
        <v>120</v>
      </c>
      <c r="Z130" s="93">
        <f>IF(AQ130="5",BJ130,0)</f>
        <v>0</v>
      </c>
      <c r="AB130" s="93">
        <f>IF(AQ130="1",BH130,0)</f>
        <v>0</v>
      </c>
      <c r="AC130" s="93">
        <f>IF(AQ130="1",BI130,0)</f>
        <v>0</v>
      </c>
      <c r="AD130" s="93">
        <f>IF(AQ130="7",BH130,0)</f>
        <v>0</v>
      </c>
      <c r="AE130" s="93">
        <f>IF(AQ130="7",BI130,0)</f>
        <v>0</v>
      </c>
      <c r="AF130" s="93">
        <f>IF(AQ130="2",BH130,0)</f>
        <v>0</v>
      </c>
      <c r="AG130" s="93">
        <f>IF(AQ130="2",BI130,0)</f>
        <v>0</v>
      </c>
      <c r="AH130" s="93">
        <f>IF(AQ130="0",BJ130,0)</f>
        <v>0</v>
      </c>
      <c r="AI130" s="71"/>
      <c r="AJ130" s="93">
        <f>IF(AN130=0,H130,0)</f>
        <v>0</v>
      </c>
      <c r="AK130" s="93">
        <f>IF(AN130=12,H130,0)</f>
        <v>0</v>
      </c>
      <c r="AL130" s="93">
        <f>IF(AN130=21,H130,0)</f>
        <v>0</v>
      </c>
      <c r="AN130" s="93">
        <v>21</v>
      </c>
      <c r="AO130" s="93">
        <f>G130*0.719740741</f>
        <v>0</v>
      </c>
      <c r="AP130" s="93">
        <f>G130*(1-0.719740741)</f>
        <v>0</v>
      </c>
      <c r="AQ130" s="95" t="s">
        <v>160</v>
      </c>
      <c r="AV130" s="93">
        <f>AW130+AX130</f>
        <v>0</v>
      </c>
      <c r="AW130" s="93">
        <f>F130*AO130</f>
        <v>0</v>
      </c>
      <c r="AX130" s="93">
        <f>F130*AP130</f>
        <v>0</v>
      </c>
      <c r="AY130" s="95" t="s">
        <v>267</v>
      </c>
      <c r="AZ130" s="95" t="s">
        <v>268</v>
      </c>
      <c r="BA130" s="71" t="s">
        <v>123</v>
      </c>
      <c r="BC130" s="93">
        <f>AW130+AX130</f>
        <v>0</v>
      </c>
      <c r="BD130" s="93">
        <f>G130/(100-BE130)*100</f>
        <v>0</v>
      </c>
      <c r="BE130" s="93">
        <v>0</v>
      </c>
      <c r="BF130" s="93">
        <f>J130</f>
        <v>0.014993</v>
      </c>
      <c r="BH130" s="93">
        <f>F130*AO130</f>
        <v>0</v>
      </c>
      <c r="BI130" s="93">
        <f>F130*AP130</f>
        <v>0</v>
      </c>
      <c r="BJ130" s="93">
        <f>F130*G130</f>
        <v>0</v>
      </c>
      <c r="BK130" s="93"/>
      <c r="BL130" s="93">
        <v>764</v>
      </c>
      <c r="BW130" s="93">
        <v>21</v>
      </c>
    </row>
    <row r="131" spans="1:11" ht="15">
      <c r="A131" s="96"/>
      <c r="C131" s="98" t="s">
        <v>298</v>
      </c>
      <c r="D131" s="99"/>
      <c r="F131" s="100">
        <v>2.9</v>
      </c>
      <c r="K131" s="101"/>
    </row>
    <row r="132" spans="1:75" ht="13.5" customHeight="1">
      <c r="A132" s="92" t="s">
        <v>299</v>
      </c>
      <c r="B132" s="10" t="s">
        <v>300</v>
      </c>
      <c r="C132" s="8" t="s">
        <v>301</v>
      </c>
      <c r="D132" s="8"/>
      <c r="E132" s="10" t="s">
        <v>302</v>
      </c>
      <c r="F132" s="93">
        <v>0.45536</v>
      </c>
      <c r="G132" s="93">
        <v>0</v>
      </c>
      <c r="H132" s="93">
        <f>F132*G132</f>
        <v>0</v>
      </c>
      <c r="I132" s="93">
        <v>0</v>
      </c>
      <c r="J132" s="93">
        <f>F132*I132</f>
        <v>0</v>
      </c>
      <c r="K132" s="94" t="s">
        <v>120</v>
      </c>
      <c r="Z132" s="93">
        <f>IF(AQ132="5",BJ132,0)</f>
        <v>0</v>
      </c>
      <c r="AB132" s="93">
        <f>IF(AQ132="1",BH132,0)</f>
        <v>0</v>
      </c>
      <c r="AC132" s="93">
        <f>IF(AQ132="1",BI132,0)</f>
        <v>0</v>
      </c>
      <c r="AD132" s="93">
        <f>IF(AQ132="7",BH132,0)</f>
        <v>0</v>
      </c>
      <c r="AE132" s="93">
        <f>IF(AQ132="7",BI132,0)</f>
        <v>0</v>
      </c>
      <c r="AF132" s="93">
        <f>IF(AQ132="2",BH132,0)</f>
        <v>0</v>
      </c>
      <c r="AG132" s="93">
        <f>IF(AQ132="2",BI132,0)</f>
        <v>0</v>
      </c>
      <c r="AH132" s="93">
        <f>IF(AQ132="0",BJ132,0)</f>
        <v>0</v>
      </c>
      <c r="AI132" s="71"/>
      <c r="AJ132" s="93">
        <f>IF(AN132=0,H132,0)</f>
        <v>0</v>
      </c>
      <c r="AK132" s="93">
        <f>IF(AN132=12,H132,0)</f>
        <v>0</v>
      </c>
      <c r="AL132" s="93">
        <f>IF(AN132=21,H132,0)</f>
        <v>0</v>
      </c>
      <c r="AN132" s="93">
        <v>21</v>
      </c>
      <c r="AO132" s="93">
        <f>G132*0</f>
        <v>0</v>
      </c>
      <c r="AP132" s="93">
        <f>G132*(1-0)</f>
        <v>0</v>
      </c>
      <c r="AQ132" s="95" t="s">
        <v>142</v>
      </c>
      <c r="AV132" s="93">
        <f>AW132+AX132</f>
        <v>0</v>
      </c>
      <c r="AW132" s="93">
        <f>F132*AO132</f>
        <v>0</v>
      </c>
      <c r="AX132" s="93">
        <f>F132*AP132</f>
        <v>0</v>
      </c>
      <c r="AY132" s="95" t="s">
        <v>267</v>
      </c>
      <c r="AZ132" s="95" t="s">
        <v>268</v>
      </c>
      <c r="BA132" s="71" t="s">
        <v>123</v>
      </c>
      <c r="BC132" s="93">
        <f>AW132+AX132</f>
        <v>0</v>
      </c>
      <c r="BD132" s="93">
        <f>G132/(100-BE132)*100</f>
        <v>0</v>
      </c>
      <c r="BE132" s="93">
        <v>0</v>
      </c>
      <c r="BF132" s="93">
        <f>J132</f>
        <v>0</v>
      </c>
      <c r="BH132" s="93">
        <f>F132*AO132</f>
        <v>0</v>
      </c>
      <c r="BI132" s="93">
        <f>F132*AP132</f>
        <v>0</v>
      </c>
      <c r="BJ132" s="93">
        <f>F132*G132</f>
        <v>0</v>
      </c>
      <c r="BK132" s="93"/>
      <c r="BL132" s="93">
        <v>764</v>
      </c>
      <c r="BW132" s="93">
        <v>21</v>
      </c>
    </row>
    <row r="133" spans="1:47" ht="15" customHeight="1">
      <c r="A133" s="87"/>
      <c r="B133" s="88" t="s">
        <v>303</v>
      </c>
      <c r="C133" s="89" t="s">
        <v>304</v>
      </c>
      <c r="D133" s="89"/>
      <c r="E133" s="90" t="s">
        <v>79</v>
      </c>
      <c r="F133" s="90" t="s">
        <v>79</v>
      </c>
      <c r="G133" s="90" t="s">
        <v>79</v>
      </c>
      <c r="H133" s="61">
        <f>SUM(H134:H198)</f>
        <v>0</v>
      </c>
      <c r="I133" s="71"/>
      <c r="J133" s="61">
        <f>SUM(J134:J198)</f>
        <v>5.6112636</v>
      </c>
      <c r="K133" s="91"/>
      <c r="AI133" s="71"/>
      <c r="AS133" s="61">
        <f>SUM(AJ134:AJ198)</f>
        <v>0</v>
      </c>
      <c r="AT133" s="61">
        <f>SUM(AK134:AK198)</f>
        <v>0</v>
      </c>
      <c r="AU133" s="61">
        <f>SUM(AL134:AL198)</f>
        <v>0</v>
      </c>
    </row>
    <row r="134" spans="1:75" ht="13.5" customHeight="1">
      <c r="A134" s="92" t="s">
        <v>305</v>
      </c>
      <c r="B134" s="10" t="s">
        <v>306</v>
      </c>
      <c r="C134" s="8" t="s">
        <v>307</v>
      </c>
      <c r="D134" s="8"/>
      <c r="E134" s="10" t="s">
        <v>135</v>
      </c>
      <c r="F134" s="93">
        <v>122.6229</v>
      </c>
      <c r="G134" s="93">
        <v>0</v>
      </c>
      <c r="H134" s="93">
        <f>F134*G134</f>
        <v>0</v>
      </c>
      <c r="I134" s="93">
        <v>0.03</v>
      </c>
      <c r="J134" s="93">
        <f>F134*I134</f>
        <v>3.678687</v>
      </c>
      <c r="K134" s="94" t="s">
        <v>308</v>
      </c>
      <c r="Z134" s="93">
        <f>IF(AQ134="5",BJ134,0)</f>
        <v>0</v>
      </c>
      <c r="AB134" s="93">
        <f>IF(AQ134="1",BH134,0)</f>
        <v>0</v>
      </c>
      <c r="AC134" s="93">
        <f>IF(AQ134="1",BI134,0)</f>
        <v>0</v>
      </c>
      <c r="AD134" s="93">
        <f>IF(AQ134="7",BH134,0)</f>
        <v>0</v>
      </c>
      <c r="AE134" s="93">
        <f>IF(AQ134="7",BI134,0)</f>
        <v>0</v>
      </c>
      <c r="AF134" s="93">
        <f>IF(AQ134="2",BH134,0)</f>
        <v>0</v>
      </c>
      <c r="AG134" s="93">
        <f>IF(AQ134="2",BI134,0)</f>
        <v>0</v>
      </c>
      <c r="AH134" s="93">
        <f>IF(AQ134="0",BJ134,0)</f>
        <v>0</v>
      </c>
      <c r="AI134" s="71"/>
      <c r="AJ134" s="93">
        <f>IF(AN134=0,H134,0)</f>
        <v>0</v>
      </c>
      <c r="AK134" s="93">
        <f>IF(AN134=12,H134,0)</f>
        <v>0</v>
      </c>
      <c r="AL134" s="93">
        <f>IF(AN134=21,H134,0)</f>
        <v>0</v>
      </c>
      <c r="AN134" s="93">
        <v>21</v>
      </c>
      <c r="AO134" s="93">
        <f>G134*0</f>
        <v>0</v>
      </c>
      <c r="AP134" s="93">
        <f>G134*(1-0)</f>
        <v>0</v>
      </c>
      <c r="AQ134" s="95" t="s">
        <v>160</v>
      </c>
      <c r="AV134" s="93">
        <f>AW134+AX134</f>
        <v>0</v>
      </c>
      <c r="AW134" s="93">
        <f>F134*AO134</f>
        <v>0</v>
      </c>
      <c r="AX134" s="93">
        <f>F134*AP134</f>
        <v>0</v>
      </c>
      <c r="AY134" s="95" t="s">
        <v>309</v>
      </c>
      <c r="AZ134" s="95" t="s">
        <v>268</v>
      </c>
      <c r="BA134" s="71" t="s">
        <v>123</v>
      </c>
      <c r="BC134" s="93">
        <f>AW134+AX134</f>
        <v>0</v>
      </c>
      <c r="BD134" s="93">
        <f>G134/(100-BE134)*100</f>
        <v>0</v>
      </c>
      <c r="BE134" s="93">
        <v>0</v>
      </c>
      <c r="BF134" s="93">
        <f>J134</f>
        <v>3.678687</v>
      </c>
      <c r="BH134" s="93">
        <f>F134*AO134</f>
        <v>0</v>
      </c>
      <c r="BI134" s="93">
        <f>F134*AP134</f>
        <v>0</v>
      </c>
      <c r="BJ134" s="93">
        <f>F134*G134</f>
        <v>0</v>
      </c>
      <c r="BK134" s="93"/>
      <c r="BL134" s="93">
        <v>766</v>
      </c>
      <c r="BW134" s="93">
        <v>21</v>
      </c>
    </row>
    <row r="135" spans="1:11" ht="13.5" customHeight="1">
      <c r="A135" s="96"/>
      <c r="C135" s="97" t="s">
        <v>310</v>
      </c>
      <c r="D135" s="97"/>
      <c r="E135" s="97"/>
      <c r="F135" s="97"/>
      <c r="G135" s="97"/>
      <c r="H135" s="97"/>
      <c r="I135" s="97"/>
      <c r="J135" s="97"/>
      <c r="K135" s="97"/>
    </row>
    <row r="136" spans="1:11" ht="15">
      <c r="A136" s="96"/>
      <c r="C136" s="98" t="s">
        <v>311</v>
      </c>
      <c r="D136" s="99"/>
      <c r="F136" s="100">
        <v>1.3908</v>
      </c>
      <c r="K136" s="101"/>
    </row>
    <row r="137" spans="1:11" ht="15">
      <c r="A137" s="96"/>
      <c r="C137" s="98" t="s">
        <v>312</v>
      </c>
      <c r="D137" s="99"/>
      <c r="F137" s="100">
        <v>1.1712</v>
      </c>
      <c r="K137" s="101"/>
    </row>
    <row r="138" spans="1:11" ht="15">
      <c r="A138" s="96"/>
      <c r="C138" s="98" t="s">
        <v>313</v>
      </c>
      <c r="D138" s="99"/>
      <c r="F138" s="100">
        <v>9.3696</v>
      </c>
      <c r="K138" s="101"/>
    </row>
    <row r="139" spans="1:11" ht="15">
      <c r="A139" s="96"/>
      <c r="C139" s="98" t="s">
        <v>314</v>
      </c>
      <c r="D139" s="99"/>
      <c r="F139" s="100">
        <v>39.7824</v>
      </c>
      <c r="K139" s="101"/>
    </row>
    <row r="140" spans="1:11" ht="15">
      <c r="A140" s="96"/>
      <c r="C140" s="98" t="s">
        <v>315</v>
      </c>
      <c r="D140" s="99"/>
      <c r="F140" s="100">
        <v>2.5172</v>
      </c>
      <c r="K140" s="101"/>
    </row>
    <row r="141" spans="1:11" ht="15">
      <c r="A141" s="96"/>
      <c r="C141" s="98" t="s">
        <v>316</v>
      </c>
      <c r="D141" s="99"/>
      <c r="F141" s="100">
        <v>2.7559</v>
      </c>
      <c r="K141" s="101"/>
    </row>
    <row r="142" spans="1:11" ht="15">
      <c r="A142" s="96"/>
      <c r="C142" s="98" t="s">
        <v>317</v>
      </c>
      <c r="D142" s="99"/>
      <c r="F142" s="100">
        <v>0.88</v>
      </c>
      <c r="K142" s="101"/>
    </row>
    <row r="143" spans="1:11" ht="15">
      <c r="A143" s="96"/>
      <c r="C143" s="98" t="s">
        <v>318</v>
      </c>
      <c r="D143" s="99"/>
      <c r="F143" s="100">
        <v>1.6992</v>
      </c>
      <c r="K143" s="101"/>
    </row>
    <row r="144" spans="1:11" ht="15">
      <c r="A144" s="96"/>
      <c r="C144" s="98" t="s">
        <v>319</v>
      </c>
      <c r="D144" s="99"/>
      <c r="F144" s="100">
        <v>4.6728</v>
      </c>
      <c r="K144" s="101"/>
    </row>
    <row r="145" spans="1:11" ht="15">
      <c r="A145" s="96"/>
      <c r="C145" s="98" t="s">
        <v>320</v>
      </c>
      <c r="D145" s="99"/>
      <c r="F145" s="100">
        <v>9.3744</v>
      </c>
      <c r="K145" s="101"/>
    </row>
    <row r="146" spans="1:11" ht="15">
      <c r="A146" s="96"/>
      <c r="C146" s="98" t="s">
        <v>321</v>
      </c>
      <c r="D146" s="99"/>
      <c r="F146" s="100">
        <v>1.593</v>
      </c>
      <c r="K146" s="101"/>
    </row>
    <row r="147" spans="1:11" ht="15">
      <c r="A147" s="96"/>
      <c r="C147" s="98" t="s">
        <v>322</v>
      </c>
      <c r="D147" s="99"/>
      <c r="F147" s="100">
        <v>3.222</v>
      </c>
      <c r="K147" s="101"/>
    </row>
    <row r="148" spans="1:11" ht="15">
      <c r="A148" s="96"/>
      <c r="C148" s="98" t="s">
        <v>323</v>
      </c>
      <c r="D148" s="99"/>
      <c r="F148" s="100">
        <v>5.694</v>
      </c>
      <c r="K148" s="101"/>
    </row>
    <row r="149" spans="1:11" ht="15">
      <c r="A149" s="96"/>
      <c r="C149" s="98" t="s">
        <v>324</v>
      </c>
      <c r="D149" s="99"/>
      <c r="F149" s="100">
        <v>3.04</v>
      </c>
      <c r="K149" s="101"/>
    </row>
    <row r="150" spans="1:11" ht="15">
      <c r="A150" s="96"/>
      <c r="C150" s="98" t="s">
        <v>325</v>
      </c>
      <c r="D150" s="99"/>
      <c r="F150" s="100">
        <v>2.7632</v>
      </c>
      <c r="K150" s="101"/>
    </row>
    <row r="151" spans="1:11" ht="15">
      <c r="A151" s="96"/>
      <c r="C151" s="98" t="s">
        <v>326</v>
      </c>
      <c r="D151" s="99"/>
      <c r="F151" s="100">
        <v>16.2816</v>
      </c>
      <c r="K151" s="101"/>
    </row>
    <row r="152" spans="1:11" ht="15">
      <c r="A152" s="96"/>
      <c r="C152" s="98" t="s">
        <v>327</v>
      </c>
      <c r="D152" s="99"/>
      <c r="F152" s="100">
        <v>6.2752</v>
      </c>
      <c r="K152" s="101"/>
    </row>
    <row r="153" spans="1:11" ht="15">
      <c r="A153" s="96"/>
      <c r="C153" s="98" t="s">
        <v>328</v>
      </c>
      <c r="D153" s="99"/>
      <c r="F153" s="100">
        <v>5.5968</v>
      </c>
      <c r="K153" s="101"/>
    </row>
    <row r="154" spans="1:11" ht="15">
      <c r="A154" s="96"/>
      <c r="C154" s="98" t="s">
        <v>329</v>
      </c>
      <c r="D154" s="99"/>
      <c r="F154" s="100">
        <v>4.5436</v>
      </c>
      <c r="K154" s="101"/>
    </row>
    <row r="155" spans="1:75" ht="13.5" customHeight="1">
      <c r="A155" s="92" t="s">
        <v>130</v>
      </c>
      <c r="B155" s="10" t="s">
        <v>330</v>
      </c>
      <c r="C155" s="8" t="s">
        <v>331</v>
      </c>
      <c r="D155" s="8"/>
      <c r="E155" s="10" t="s">
        <v>135</v>
      </c>
      <c r="F155" s="93">
        <v>30.5736</v>
      </c>
      <c r="G155" s="93">
        <v>0</v>
      </c>
      <c r="H155" s="93">
        <f>F155*G155</f>
        <v>0</v>
      </c>
      <c r="I155" s="93">
        <v>0.05</v>
      </c>
      <c r="J155" s="93">
        <f>F155*I155</f>
        <v>1.52868</v>
      </c>
      <c r="K155" s="94" t="s">
        <v>332</v>
      </c>
      <c r="Z155" s="93">
        <f>IF(AQ155="5",BJ155,0)</f>
        <v>0</v>
      </c>
      <c r="AB155" s="93">
        <f>IF(AQ155="1",BH155,0)</f>
        <v>0</v>
      </c>
      <c r="AC155" s="93">
        <f>IF(AQ155="1",BI155,0)</f>
        <v>0</v>
      </c>
      <c r="AD155" s="93">
        <f>IF(AQ155="7",BH155,0)</f>
        <v>0</v>
      </c>
      <c r="AE155" s="93">
        <f>IF(AQ155="7",BI155,0)</f>
        <v>0</v>
      </c>
      <c r="AF155" s="93">
        <f>IF(AQ155="2",BH155,0)</f>
        <v>0</v>
      </c>
      <c r="AG155" s="93">
        <f>IF(AQ155="2",BI155,0)</f>
        <v>0</v>
      </c>
      <c r="AH155" s="93">
        <f>IF(AQ155="0",BJ155,0)</f>
        <v>0</v>
      </c>
      <c r="AI155" s="71"/>
      <c r="AJ155" s="93">
        <f>IF(AN155=0,H155,0)</f>
        <v>0</v>
      </c>
      <c r="AK155" s="93">
        <f>IF(AN155=12,H155,0)</f>
        <v>0</v>
      </c>
      <c r="AL155" s="93">
        <f>IF(AN155=21,H155,0)</f>
        <v>0</v>
      </c>
      <c r="AN155" s="93">
        <v>21</v>
      </c>
      <c r="AO155" s="93">
        <f>G155*0</f>
        <v>0</v>
      </c>
      <c r="AP155" s="93">
        <f>G155*(1-0)</f>
        <v>0</v>
      </c>
      <c r="AQ155" s="95" t="s">
        <v>160</v>
      </c>
      <c r="AV155" s="93">
        <f>AW155+AX155</f>
        <v>0</v>
      </c>
      <c r="AW155" s="93">
        <f>F155*AO155</f>
        <v>0</v>
      </c>
      <c r="AX155" s="93">
        <f>F155*AP155</f>
        <v>0</v>
      </c>
      <c r="AY155" s="95" t="s">
        <v>309</v>
      </c>
      <c r="AZ155" s="95" t="s">
        <v>268</v>
      </c>
      <c r="BA155" s="71" t="s">
        <v>123</v>
      </c>
      <c r="BC155" s="93">
        <f>AW155+AX155</f>
        <v>0</v>
      </c>
      <c r="BD155" s="93">
        <f>G155/(100-BE155)*100</f>
        <v>0</v>
      </c>
      <c r="BE155" s="93">
        <v>0</v>
      </c>
      <c r="BF155" s="93">
        <f>J155</f>
        <v>1.52868</v>
      </c>
      <c r="BH155" s="93">
        <f>F155*AO155</f>
        <v>0</v>
      </c>
      <c r="BI155" s="93">
        <f>F155*AP155</f>
        <v>0</v>
      </c>
      <c r="BJ155" s="93">
        <f>F155*G155</f>
        <v>0</v>
      </c>
      <c r="BK155" s="93"/>
      <c r="BL155" s="93">
        <v>766</v>
      </c>
      <c r="BW155" s="93">
        <v>21</v>
      </c>
    </row>
    <row r="156" spans="1:11" ht="13.5" customHeight="1">
      <c r="A156" s="96"/>
      <c r="C156" s="97" t="s">
        <v>333</v>
      </c>
      <c r="D156" s="97"/>
      <c r="E156" s="97"/>
      <c r="F156" s="97"/>
      <c r="G156" s="97"/>
      <c r="H156" s="97"/>
      <c r="I156" s="97"/>
      <c r="J156" s="97"/>
      <c r="K156" s="97"/>
    </row>
    <row r="157" spans="1:11" ht="15">
      <c r="A157" s="96"/>
      <c r="C157" s="98" t="s">
        <v>334</v>
      </c>
      <c r="D157" s="99"/>
      <c r="F157" s="100">
        <v>6.5508</v>
      </c>
      <c r="K157" s="101"/>
    </row>
    <row r="158" spans="1:11" ht="15">
      <c r="A158" s="96"/>
      <c r="C158" s="98" t="s">
        <v>335</v>
      </c>
      <c r="D158" s="99"/>
      <c r="F158" s="100">
        <v>2.1836</v>
      </c>
      <c r="K158" s="101"/>
    </row>
    <row r="159" spans="1:11" ht="15">
      <c r="A159" s="96"/>
      <c r="C159" s="98" t="s">
        <v>336</v>
      </c>
      <c r="D159" s="99"/>
      <c r="F159" s="100">
        <v>1.9504</v>
      </c>
      <c r="K159" s="101"/>
    </row>
    <row r="160" spans="1:11" ht="15">
      <c r="A160" s="96"/>
      <c r="C160" s="98" t="s">
        <v>337</v>
      </c>
      <c r="D160" s="99"/>
      <c r="F160" s="100">
        <v>2.12</v>
      </c>
      <c r="K160" s="101"/>
    </row>
    <row r="161" spans="1:11" ht="15">
      <c r="A161" s="96"/>
      <c r="C161" s="98" t="s">
        <v>338</v>
      </c>
      <c r="D161" s="99"/>
      <c r="F161" s="100">
        <v>2.756</v>
      </c>
      <c r="K161" s="101"/>
    </row>
    <row r="162" spans="1:11" ht="15">
      <c r="A162" s="96"/>
      <c r="C162" s="98" t="s">
        <v>339</v>
      </c>
      <c r="D162" s="99"/>
      <c r="F162" s="100">
        <v>3.09</v>
      </c>
      <c r="K162" s="101"/>
    </row>
    <row r="163" spans="1:11" ht="15">
      <c r="A163" s="96"/>
      <c r="C163" s="98" t="s">
        <v>340</v>
      </c>
      <c r="D163" s="99"/>
      <c r="F163" s="100">
        <v>3.564</v>
      </c>
      <c r="K163" s="101"/>
    </row>
    <row r="164" spans="1:11" ht="15">
      <c r="A164" s="96"/>
      <c r="C164" s="98" t="s">
        <v>341</v>
      </c>
      <c r="D164" s="99"/>
      <c r="F164" s="100">
        <v>2.793</v>
      </c>
      <c r="K164" s="101"/>
    </row>
    <row r="165" spans="1:11" ht="15">
      <c r="A165" s="96"/>
      <c r="C165" s="98" t="s">
        <v>342</v>
      </c>
      <c r="D165" s="99"/>
      <c r="F165" s="100">
        <v>2.1114</v>
      </c>
      <c r="K165" s="101"/>
    </row>
    <row r="166" spans="1:11" ht="15">
      <c r="A166" s="96"/>
      <c r="C166" s="98" t="s">
        <v>343</v>
      </c>
      <c r="D166" s="99"/>
      <c r="F166" s="100">
        <v>3.4544</v>
      </c>
      <c r="K166" s="101"/>
    </row>
    <row r="167" spans="1:75" ht="13.5" customHeight="1">
      <c r="A167" s="92" t="s">
        <v>344</v>
      </c>
      <c r="B167" s="10" t="s">
        <v>345</v>
      </c>
      <c r="C167" s="8" t="s">
        <v>346</v>
      </c>
      <c r="D167" s="8"/>
      <c r="E167" s="10" t="s">
        <v>135</v>
      </c>
      <c r="F167" s="93">
        <v>102.63</v>
      </c>
      <c r="G167" s="93">
        <v>0</v>
      </c>
      <c r="H167" s="93">
        <f>F167*G167</f>
        <v>0</v>
      </c>
      <c r="I167" s="93">
        <v>0.00382</v>
      </c>
      <c r="J167" s="93">
        <f>F167*I167</f>
        <v>0.3920466</v>
      </c>
      <c r="K167" s="94" t="s">
        <v>120</v>
      </c>
      <c r="Z167" s="93">
        <f>IF(AQ167="5",BJ167,0)</f>
        <v>0</v>
      </c>
      <c r="AB167" s="93">
        <f>IF(AQ167="1",BH167,0)</f>
        <v>0</v>
      </c>
      <c r="AC167" s="93">
        <f>IF(AQ167="1",BI167,0)</f>
        <v>0</v>
      </c>
      <c r="AD167" s="93">
        <f>IF(AQ167="7",BH167,0)</f>
        <v>0</v>
      </c>
      <c r="AE167" s="93">
        <f>IF(AQ167="7",BI167,0)</f>
        <v>0</v>
      </c>
      <c r="AF167" s="93">
        <f>IF(AQ167="2",BH167,0)</f>
        <v>0</v>
      </c>
      <c r="AG167" s="93">
        <f>IF(AQ167="2",BI167,0)</f>
        <v>0</v>
      </c>
      <c r="AH167" s="93">
        <f>IF(AQ167="0",BJ167,0)</f>
        <v>0</v>
      </c>
      <c r="AI167" s="71"/>
      <c r="AJ167" s="93">
        <f>IF(AN167=0,H167,0)</f>
        <v>0</v>
      </c>
      <c r="AK167" s="93">
        <f>IF(AN167=12,H167,0)</f>
        <v>0</v>
      </c>
      <c r="AL167" s="93">
        <f>IF(AN167=21,H167,0)</f>
        <v>0</v>
      </c>
      <c r="AN167" s="93">
        <v>21</v>
      </c>
      <c r="AO167" s="93">
        <f>G167*0.703971822</f>
        <v>0</v>
      </c>
      <c r="AP167" s="93">
        <f>G167*(1-0.703971822)</f>
        <v>0</v>
      </c>
      <c r="AQ167" s="95" t="s">
        <v>160</v>
      </c>
      <c r="AV167" s="93">
        <f>AW167+AX167</f>
        <v>0</v>
      </c>
      <c r="AW167" s="93">
        <f>F167*AO167</f>
        <v>0</v>
      </c>
      <c r="AX167" s="93">
        <f>F167*AP167</f>
        <v>0</v>
      </c>
      <c r="AY167" s="95" t="s">
        <v>309</v>
      </c>
      <c r="AZ167" s="95" t="s">
        <v>268</v>
      </c>
      <c r="BA167" s="71" t="s">
        <v>123</v>
      </c>
      <c r="BC167" s="93">
        <f>AW167+AX167</f>
        <v>0</v>
      </c>
      <c r="BD167" s="93">
        <f>G167/(100-BE167)*100</f>
        <v>0</v>
      </c>
      <c r="BE167" s="93">
        <v>0</v>
      </c>
      <c r="BF167" s="93">
        <f>J167</f>
        <v>0.3920466</v>
      </c>
      <c r="BH167" s="93">
        <f>F167*AO167</f>
        <v>0</v>
      </c>
      <c r="BI167" s="93">
        <f>F167*AP167</f>
        <v>0</v>
      </c>
      <c r="BJ167" s="93">
        <f>F167*G167</f>
        <v>0</v>
      </c>
      <c r="BK167" s="93"/>
      <c r="BL167" s="93">
        <v>766</v>
      </c>
      <c r="BW167" s="93">
        <v>21</v>
      </c>
    </row>
    <row r="168" spans="1:11" ht="13.5" customHeight="1">
      <c r="A168" s="96"/>
      <c r="C168" s="97" t="s">
        <v>347</v>
      </c>
      <c r="D168" s="97"/>
      <c r="E168" s="97"/>
      <c r="F168" s="97"/>
      <c r="G168" s="97"/>
      <c r="H168" s="97"/>
      <c r="I168" s="97"/>
      <c r="J168" s="97"/>
      <c r="K168" s="97"/>
    </row>
    <row r="169" spans="1:11" ht="15">
      <c r="A169" s="96"/>
      <c r="C169" s="98" t="s">
        <v>348</v>
      </c>
      <c r="D169" s="99"/>
      <c r="F169" s="100">
        <v>48.455</v>
      </c>
      <c r="K169" s="101"/>
    </row>
    <row r="170" spans="1:11" ht="15">
      <c r="A170" s="96"/>
      <c r="C170" s="98" t="s">
        <v>349</v>
      </c>
      <c r="D170" s="99"/>
      <c r="F170" s="100">
        <v>25.735</v>
      </c>
      <c r="K170" s="101"/>
    </row>
    <row r="171" spans="1:11" ht="15">
      <c r="A171" s="96"/>
      <c r="C171" s="98" t="s">
        <v>350</v>
      </c>
      <c r="D171" s="99"/>
      <c r="F171" s="100">
        <v>28.44</v>
      </c>
      <c r="K171" s="101"/>
    </row>
    <row r="172" spans="1:75" ht="13.5" customHeight="1">
      <c r="A172" s="92" t="s">
        <v>351</v>
      </c>
      <c r="B172" s="10" t="s">
        <v>352</v>
      </c>
      <c r="C172" s="8" t="s">
        <v>353</v>
      </c>
      <c r="D172" s="8"/>
      <c r="E172" s="10" t="s">
        <v>354</v>
      </c>
      <c r="F172" s="93">
        <v>17.9325</v>
      </c>
      <c r="G172" s="93">
        <v>0</v>
      </c>
      <c r="H172" s="93">
        <f>F172*G172</f>
        <v>0</v>
      </c>
      <c r="I172" s="93">
        <v>0</v>
      </c>
      <c r="J172" s="93">
        <f>F172*I172</f>
        <v>0</v>
      </c>
      <c r="K172" s="94" t="s">
        <v>332</v>
      </c>
      <c r="Z172" s="93">
        <f>IF(AQ172="5",BJ172,0)</f>
        <v>0</v>
      </c>
      <c r="AB172" s="93">
        <f>IF(AQ172="1",BH172,0)</f>
        <v>0</v>
      </c>
      <c r="AC172" s="93">
        <f>IF(AQ172="1",BI172,0)</f>
        <v>0</v>
      </c>
      <c r="AD172" s="93">
        <f>IF(AQ172="7",BH172,0)</f>
        <v>0</v>
      </c>
      <c r="AE172" s="93">
        <f>IF(AQ172="7",BI172,0)</f>
        <v>0</v>
      </c>
      <c r="AF172" s="93">
        <f>IF(AQ172="2",BH172,0)</f>
        <v>0</v>
      </c>
      <c r="AG172" s="93">
        <f>IF(AQ172="2",BI172,0)</f>
        <v>0</v>
      </c>
      <c r="AH172" s="93">
        <f>IF(AQ172="0",BJ172,0)</f>
        <v>0</v>
      </c>
      <c r="AI172" s="71"/>
      <c r="AJ172" s="93">
        <f>IF(AN172=0,H172,0)</f>
        <v>0</v>
      </c>
      <c r="AK172" s="93">
        <f>IF(AN172=12,H172,0)</f>
        <v>0</v>
      </c>
      <c r="AL172" s="93">
        <f>IF(AN172=21,H172,0)</f>
        <v>0</v>
      </c>
      <c r="AN172" s="93">
        <v>21</v>
      </c>
      <c r="AO172" s="93">
        <f>G172*0</f>
        <v>0</v>
      </c>
      <c r="AP172" s="93">
        <f>G172*(1-0)</f>
        <v>0</v>
      </c>
      <c r="AQ172" s="95" t="s">
        <v>160</v>
      </c>
      <c r="AV172" s="93">
        <f>AW172+AX172</f>
        <v>0</v>
      </c>
      <c r="AW172" s="93">
        <f>F172*AO172</f>
        <v>0</v>
      </c>
      <c r="AX172" s="93">
        <f>F172*AP172</f>
        <v>0</v>
      </c>
      <c r="AY172" s="95" t="s">
        <v>309</v>
      </c>
      <c r="AZ172" s="95" t="s">
        <v>268</v>
      </c>
      <c r="BA172" s="71" t="s">
        <v>123</v>
      </c>
      <c r="BC172" s="93">
        <f>AW172+AX172</f>
        <v>0</v>
      </c>
      <c r="BD172" s="93">
        <f>G172/(100-BE172)*100</f>
        <v>0</v>
      </c>
      <c r="BE172" s="93">
        <v>0</v>
      </c>
      <c r="BF172" s="93">
        <f>J172</f>
        <v>0</v>
      </c>
      <c r="BH172" s="93">
        <f>F172*AO172</f>
        <v>0</v>
      </c>
      <c r="BI172" s="93">
        <f>F172*AP172</f>
        <v>0</v>
      </c>
      <c r="BJ172" s="93">
        <f>F172*G172</f>
        <v>0</v>
      </c>
      <c r="BK172" s="93"/>
      <c r="BL172" s="93">
        <v>766</v>
      </c>
      <c r="BW172" s="93">
        <v>21</v>
      </c>
    </row>
    <row r="173" spans="1:11" ht="13.5" customHeight="1">
      <c r="A173" s="96"/>
      <c r="C173" s="97" t="s">
        <v>355</v>
      </c>
      <c r="D173" s="97"/>
      <c r="E173" s="97"/>
      <c r="F173" s="97"/>
      <c r="G173" s="97"/>
      <c r="H173" s="97"/>
      <c r="I173" s="97"/>
      <c r="J173" s="97"/>
      <c r="K173" s="97"/>
    </row>
    <row r="174" spans="1:11" ht="15">
      <c r="A174" s="96"/>
      <c r="C174" s="98" t="s">
        <v>356</v>
      </c>
      <c r="D174" s="99"/>
      <c r="F174" s="100">
        <v>1.8</v>
      </c>
      <c r="K174" s="101"/>
    </row>
    <row r="175" spans="1:11" ht="15">
      <c r="A175" s="96"/>
      <c r="C175" s="98" t="s">
        <v>357</v>
      </c>
      <c r="D175" s="99"/>
      <c r="F175" s="100">
        <v>9.6525</v>
      </c>
      <c r="K175" s="101"/>
    </row>
    <row r="176" spans="1:11" ht="15">
      <c r="A176" s="96"/>
      <c r="C176" s="98" t="s">
        <v>358</v>
      </c>
      <c r="D176" s="99"/>
      <c r="F176" s="100">
        <v>6.48</v>
      </c>
      <c r="K176" s="101"/>
    </row>
    <row r="177" spans="1:75" ht="13.5" customHeight="1">
      <c r="A177" s="92" t="s">
        <v>359</v>
      </c>
      <c r="B177" s="10" t="s">
        <v>360</v>
      </c>
      <c r="C177" s="8" t="s">
        <v>361</v>
      </c>
      <c r="D177" s="8"/>
      <c r="E177" s="10" t="s">
        <v>175</v>
      </c>
      <c r="F177" s="93">
        <v>424.52</v>
      </c>
      <c r="G177" s="93">
        <v>0</v>
      </c>
      <c r="H177" s="93">
        <f>F177*G177</f>
        <v>0</v>
      </c>
      <c r="I177" s="93">
        <v>0</v>
      </c>
      <c r="J177" s="93">
        <f>F177*I177</f>
        <v>0</v>
      </c>
      <c r="K177" s="94" t="s">
        <v>120</v>
      </c>
      <c r="Z177" s="93">
        <f>IF(AQ177="5",BJ177,0)</f>
        <v>0</v>
      </c>
      <c r="AB177" s="93">
        <f>IF(AQ177="1",BH177,0)</f>
        <v>0</v>
      </c>
      <c r="AC177" s="93">
        <f>IF(AQ177="1",BI177,0)</f>
        <v>0</v>
      </c>
      <c r="AD177" s="93">
        <f>IF(AQ177="7",BH177,0)</f>
        <v>0</v>
      </c>
      <c r="AE177" s="93">
        <f>IF(AQ177="7",BI177,0)</f>
        <v>0</v>
      </c>
      <c r="AF177" s="93">
        <f>IF(AQ177="2",BH177,0)</f>
        <v>0</v>
      </c>
      <c r="AG177" s="93">
        <f>IF(AQ177="2",BI177,0)</f>
        <v>0</v>
      </c>
      <c r="AH177" s="93">
        <f>IF(AQ177="0",BJ177,0)</f>
        <v>0</v>
      </c>
      <c r="AI177" s="71"/>
      <c r="AJ177" s="93">
        <f>IF(AN177=0,H177,0)</f>
        <v>0</v>
      </c>
      <c r="AK177" s="93">
        <f>IF(AN177=12,H177,0)</f>
        <v>0</v>
      </c>
      <c r="AL177" s="93">
        <f>IF(AN177=21,H177,0)</f>
        <v>0</v>
      </c>
      <c r="AN177" s="93">
        <v>21</v>
      </c>
      <c r="AO177" s="93">
        <f>G177*0.377287178</f>
        <v>0</v>
      </c>
      <c r="AP177" s="93">
        <f>G177*(1-0.377287178)</f>
        <v>0</v>
      </c>
      <c r="AQ177" s="95" t="s">
        <v>160</v>
      </c>
      <c r="AV177" s="93">
        <f>AW177+AX177</f>
        <v>0</v>
      </c>
      <c r="AW177" s="93">
        <f>F177*AO177</f>
        <v>0</v>
      </c>
      <c r="AX177" s="93">
        <f>F177*AP177</f>
        <v>0</v>
      </c>
      <c r="AY177" s="95" t="s">
        <v>309</v>
      </c>
      <c r="AZ177" s="95" t="s">
        <v>268</v>
      </c>
      <c r="BA177" s="71" t="s">
        <v>123</v>
      </c>
      <c r="BC177" s="93">
        <f>AW177+AX177</f>
        <v>0</v>
      </c>
      <c r="BD177" s="93">
        <f>G177/(100-BE177)*100</f>
        <v>0</v>
      </c>
      <c r="BE177" s="93">
        <v>0</v>
      </c>
      <c r="BF177" s="93">
        <f>J177</f>
        <v>0</v>
      </c>
      <c r="BH177" s="93">
        <f>F177*AO177</f>
        <v>0</v>
      </c>
      <c r="BI177" s="93">
        <f>F177*AP177</f>
        <v>0</v>
      </c>
      <c r="BJ177" s="93">
        <f>F177*G177</f>
        <v>0</v>
      </c>
      <c r="BK177" s="93"/>
      <c r="BL177" s="93">
        <v>766</v>
      </c>
      <c r="BW177" s="93">
        <v>21</v>
      </c>
    </row>
    <row r="178" spans="1:11" ht="13.5" customHeight="1">
      <c r="A178" s="96"/>
      <c r="C178" s="97" t="s">
        <v>362</v>
      </c>
      <c r="D178" s="97"/>
      <c r="E178" s="97"/>
      <c r="F178" s="97"/>
      <c r="G178" s="97"/>
      <c r="H178" s="97"/>
      <c r="I178" s="97"/>
      <c r="J178" s="97"/>
      <c r="K178" s="97"/>
    </row>
    <row r="179" spans="1:11" ht="15">
      <c r="A179" s="96"/>
      <c r="C179" s="98" t="s">
        <v>363</v>
      </c>
      <c r="D179" s="99"/>
      <c r="F179" s="100">
        <v>163.64</v>
      </c>
      <c r="K179" s="101"/>
    </row>
    <row r="180" spans="1:11" ht="15">
      <c r="A180" s="96"/>
      <c r="C180" s="98" t="s">
        <v>364</v>
      </c>
      <c r="D180" s="99"/>
      <c r="F180" s="100">
        <v>77.1</v>
      </c>
      <c r="K180" s="101"/>
    </row>
    <row r="181" spans="1:11" ht="15">
      <c r="A181" s="96"/>
      <c r="C181" s="98" t="s">
        <v>365</v>
      </c>
      <c r="D181" s="99"/>
      <c r="F181" s="100">
        <v>102.18</v>
      </c>
      <c r="K181" s="101"/>
    </row>
    <row r="182" spans="1:11" ht="15">
      <c r="A182" s="96"/>
      <c r="C182" s="98" t="s">
        <v>366</v>
      </c>
      <c r="D182" s="99"/>
      <c r="F182" s="100">
        <v>67.44</v>
      </c>
      <c r="K182" s="101"/>
    </row>
    <row r="183" spans="1:11" ht="15">
      <c r="A183" s="96"/>
      <c r="C183" s="98" t="s">
        <v>367</v>
      </c>
      <c r="D183" s="99"/>
      <c r="F183" s="100">
        <v>14.16</v>
      </c>
      <c r="K183" s="101"/>
    </row>
    <row r="184" spans="1:75" ht="27" customHeight="1">
      <c r="A184" s="92" t="s">
        <v>368</v>
      </c>
      <c r="B184" s="10" t="s">
        <v>369</v>
      </c>
      <c r="C184" s="8" t="s">
        <v>370</v>
      </c>
      <c r="D184" s="8"/>
      <c r="E184" s="10" t="s">
        <v>175</v>
      </c>
      <c r="F184" s="93">
        <v>414.24</v>
      </c>
      <c r="G184" s="93">
        <v>0</v>
      </c>
      <c r="H184" s="93">
        <f>F184*G184</f>
        <v>0</v>
      </c>
      <c r="I184" s="93">
        <v>0</v>
      </c>
      <c r="J184" s="93">
        <f>F184*I184</f>
        <v>0</v>
      </c>
      <c r="K184" s="94" t="s">
        <v>332</v>
      </c>
      <c r="Z184" s="93">
        <f>IF(AQ184="5",BJ184,0)</f>
        <v>0</v>
      </c>
      <c r="AB184" s="93">
        <f>IF(AQ184="1",BH184,0)</f>
        <v>0</v>
      </c>
      <c r="AC184" s="93">
        <f>IF(AQ184="1",BI184,0)</f>
        <v>0</v>
      </c>
      <c r="AD184" s="93">
        <f>IF(AQ184="7",BH184,0)</f>
        <v>0</v>
      </c>
      <c r="AE184" s="93">
        <f>IF(AQ184="7",BI184,0)</f>
        <v>0</v>
      </c>
      <c r="AF184" s="93">
        <f>IF(AQ184="2",BH184,0)</f>
        <v>0</v>
      </c>
      <c r="AG184" s="93">
        <f>IF(AQ184="2",BI184,0)</f>
        <v>0</v>
      </c>
      <c r="AH184" s="93">
        <f>IF(AQ184="0",BJ184,0)</f>
        <v>0</v>
      </c>
      <c r="AI184" s="71"/>
      <c r="AJ184" s="93">
        <f>IF(AN184=0,H184,0)</f>
        <v>0</v>
      </c>
      <c r="AK184" s="93">
        <f>IF(AN184=12,H184,0)</f>
        <v>0</v>
      </c>
      <c r="AL184" s="93">
        <f>IF(AN184=21,H184,0)</f>
        <v>0</v>
      </c>
      <c r="AN184" s="93">
        <v>21</v>
      </c>
      <c r="AO184" s="93">
        <f>G184*0.75</f>
        <v>0</v>
      </c>
      <c r="AP184" s="93">
        <f>G184*(1-0.75)</f>
        <v>0</v>
      </c>
      <c r="AQ184" s="95" t="s">
        <v>160</v>
      </c>
      <c r="AV184" s="93">
        <f>AW184+AX184</f>
        <v>0</v>
      </c>
      <c r="AW184" s="93">
        <f>F184*AO184</f>
        <v>0</v>
      </c>
      <c r="AX184" s="93">
        <f>F184*AP184</f>
        <v>0</v>
      </c>
      <c r="AY184" s="95" t="s">
        <v>309</v>
      </c>
      <c r="AZ184" s="95" t="s">
        <v>268</v>
      </c>
      <c r="BA184" s="71" t="s">
        <v>123</v>
      </c>
      <c r="BC184" s="93">
        <f>AW184+AX184</f>
        <v>0</v>
      </c>
      <c r="BD184" s="93">
        <f>G184/(100-BE184)*100</f>
        <v>0</v>
      </c>
      <c r="BE184" s="93">
        <v>0</v>
      </c>
      <c r="BF184" s="93">
        <f>J184</f>
        <v>0</v>
      </c>
      <c r="BH184" s="93">
        <f>F184*AO184</f>
        <v>0</v>
      </c>
      <c r="BI184" s="93">
        <f>F184*AP184</f>
        <v>0</v>
      </c>
      <c r="BJ184" s="93">
        <f>F184*G184</f>
        <v>0</v>
      </c>
      <c r="BK184" s="93"/>
      <c r="BL184" s="93">
        <v>766</v>
      </c>
      <c r="BW184" s="93">
        <v>21</v>
      </c>
    </row>
    <row r="185" spans="1:11" ht="13.5" customHeight="1">
      <c r="A185" s="96"/>
      <c r="C185" s="97" t="s">
        <v>310</v>
      </c>
      <c r="D185" s="97"/>
      <c r="E185" s="97"/>
      <c r="F185" s="97"/>
      <c r="G185" s="97"/>
      <c r="H185" s="97"/>
      <c r="I185" s="97"/>
      <c r="J185" s="97"/>
      <c r="K185" s="97"/>
    </row>
    <row r="186" spans="1:11" ht="15">
      <c r="A186" s="96"/>
      <c r="C186" s="98" t="s">
        <v>371</v>
      </c>
      <c r="D186" s="99"/>
      <c r="F186" s="100">
        <v>54.32</v>
      </c>
      <c r="K186" s="101"/>
    </row>
    <row r="187" spans="1:11" ht="15">
      <c r="A187" s="96"/>
      <c r="C187" s="98" t="s">
        <v>372</v>
      </c>
      <c r="D187" s="99"/>
      <c r="F187" s="100">
        <v>194.24</v>
      </c>
      <c r="K187" s="101"/>
    </row>
    <row r="188" spans="1:11" ht="15">
      <c r="A188" s="96"/>
      <c r="C188" s="98" t="s">
        <v>373</v>
      </c>
      <c r="D188" s="99"/>
      <c r="F188" s="100">
        <v>81.28</v>
      </c>
      <c r="K188" s="101"/>
    </row>
    <row r="189" spans="1:11" ht="15">
      <c r="A189" s="96"/>
      <c r="C189" s="98" t="s">
        <v>374</v>
      </c>
      <c r="D189" s="99"/>
      <c r="F189" s="100">
        <v>64.84</v>
      </c>
      <c r="K189" s="101"/>
    </row>
    <row r="190" spans="1:11" ht="15">
      <c r="A190" s="96"/>
      <c r="C190" s="98" t="s">
        <v>375</v>
      </c>
      <c r="D190" s="99"/>
      <c r="F190" s="100">
        <v>19.56</v>
      </c>
      <c r="K190" s="101"/>
    </row>
    <row r="191" spans="1:75" ht="27" customHeight="1">
      <c r="A191" s="92" t="s">
        <v>376</v>
      </c>
      <c r="B191" s="10" t="s">
        <v>377</v>
      </c>
      <c r="C191" s="8" t="s">
        <v>378</v>
      </c>
      <c r="D191" s="8"/>
      <c r="E191" s="10" t="s">
        <v>175</v>
      </c>
      <c r="F191" s="93">
        <v>414.24</v>
      </c>
      <c r="G191" s="93">
        <v>0</v>
      </c>
      <c r="H191" s="93">
        <f>F191*G191</f>
        <v>0</v>
      </c>
      <c r="I191" s="93">
        <v>0</v>
      </c>
      <c r="J191" s="93">
        <f>F191*I191</f>
        <v>0</v>
      </c>
      <c r="K191" s="94" t="s">
        <v>332</v>
      </c>
      <c r="Z191" s="93">
        <f>IF(AQ191="5",BJ191,0)</f>
        <v>0</v>
      </c>
      <c r="AB191" s="93">
        <f>IF(AQ191="1",BH191,0)</f>
        <v>0</v>
      </c>
      <c r="AC191" s="93">
        <f>IF(AQ191="1",BI191,0)</f>
        <v>0</v>
      </c>
      <c r="AD191" s="93">
        <f>IF(AQ191="7",BH191,0)</f>
        <v>0</v>
      </c>
      <c r="AE191" s="93">
        <f>IF(AQ191="7",BI191,0)</f>
        <v>0</v>
      </c>
      <c r="AF191" s="93">
        <f>IF(AQ191="2",BH191,0)</f>
        <v>0</v>
      </c>
      <c r="AG191" s="93">
        <f>IF(AQ191="2",BI191,0)</f>
        <v>0</v>
      </c>
      <c r="AH191" s="93">
        <f>IF(AQ191="0",BJ191,0)</f>
        <v>0</v>
      </c>
      <c r="AI191" s="71"/>
      <c r="AJ191" s="93">
        <f>IF(AN191=0,H191,0)</f>
        <v>0</v>
      </c>
      <c r="AK191" s="93">
        <f>IF(AN191=12,H191,0)</f>
        <v>0</v>
      </c>
      <c r="AL191" s="93">
        <f>IF(AN191=21,H191,0)</f>
        <v>0</v>
      </c>
      <c r="AN191" s="93">
        <v>21</v>
      </c>
      <c r="AO191" s="93">
        <f>G191*0</f>
        <v>0</v>
      </c>
      <c r="AP191" s="93">
        <f>G191*(1-0)</f>
        <v>0</v>
      </c>
      <c r="AQ191" s="95" t="s">
        <v>160</v>
      </c>
      <c r="AV191" s="93">
        <f>AW191+AX191</f>
        <v>0</v>
      </c>
      <c r="AW191" s="93">
        <f>F191*AO191</f>
        <v>0</v>
      </c>
      <c r="AX191" s="93">
        <f>F191*AP191</f>
        <v>0</v>
      </c>
      <c r="AY191" s="95" t="s">
        <v>309</v>
      </c>
      <c r="AZ191" s="95" t="s">
        <v>268</v>
      </c>
      <c r="BA191" s="71" t="s">
        <v>123</v>
      </c>
      <c r="BC191" s="93">
        <f>AW191+AX191</f>
        <v>0</v>
      </c>
      <c r="BD191" s="93">
        <f>G191/(100-BE191)*100</f>
        <v>0</v>
      </c>
      <c r="BE191" s="93">
        <v>0</v>
      </c>
      <c r="BF191" s="93">
        <f>J191</f>
        <v>0</v>
      </c>
      <c r="BH191" s="93">
        <f>F191*AO191</f>
        <v>0</v>
      </c>
      <c r="BI191" s="93">
        <f>F191*AP191</f>
        <v>0</v>
      </c>
      <c r="BJ191" s="93">
        <f>F191*G191</f>
        <v>0</v>
      </c>
      <c r="BK191" s="93"/>
      <c r="BL191" s="93">
        <v>766</v>
      </c>
      <c r="BW191" s="93">
        <v>21</v>
      </c>
    </row>
    <row r="192" spans="1:11" ht="13.5" customHeight="1">
      <c r="A192" s="96"/>
      <c r="C192" s="97" t="s">
        <v>310</v>
      </c>
      <c r="D192" s="97"/>
      <c r="E192" s="97"/>
      <c r="F192" s="97"/>
      <c r="G192" s="97"/>
      <c r="H192" s="97"/>
      <c r="I192" s="97"/>
      <c r="J192" s="97"/>
      <c r="K192" s="97"/>
    </row>
    <row r="193" spans="1:11" ht="15">
      <c r="A193" s="96"/>
      <c r="C193" s="98" t="s">
        <v>379</v>
      </c>
      <c r="D193" s="99"/>
      <c r="F193" s="100">
        <v>414.24</v>
      </c>
      <c r="K193" s="101"/>
    </row>
    <row r="194" spans="1:75" ht="13.5" customHeight="1">
      <c r="A194" s="92" t="s">
        <v>380</v>
      </c>
      <c r="B194" s="10" t="s">
        <v>381</v>
      </c>
      <c r="C194" s="8" t="s">
        <v>382</v>
      </c>
      <c r="D194" s="8"/>
      <c r="E194" s="10" t="s">
        <v>192</v>
      </c>
      <c r="F194" s="93">
        <v>3</v>
      </c>
      <c r="G194" s="93">
        <v>0</v>
      </c>
      <c r="H194" s="93">
        <f>F194*G194</f>
        <v>0</v>
      </c>
      <c r="I194" s="93">
        <v>0</v>
      </c>
      <c r="J194" s="93">
        <f>F194*I194</f>
        <v>0</v>
      </c>
      <c r="K194" s="94" t="s">
        <v>120</v>
      </c>
      <c r="Z194" s="93">
        <f>IF(AQ194="5",BJ194,0)</f>
        <v>0</v>
      </c>
      <c r="AB194" s="93">
        <f>IF(AQ194="1",BH194,0)</f>
        <v>0</v>
      </c>
      <c r="AC194" s="93">
        <f>IF(AQ194="1",BI194,0)</f>
        <v>0</v>
      </c>
      <c r="AD194" s="93">
        <f>IF(AQ194="7",BH194,0)</f>
        <v>0</v>
      </c>
      <c r="AE194" s="93">
        <f>IF(AQ194="7",BI194,0)</f>
        <v>0</v>
      </c>
      <c r="AF194" s="93">
        <f>IF(AQ194="2",BH194,0)</f>
        <v>0</v>
      </c>
      <c r="AG194" s="93">
        <f>IF(AQ194="2",BI194,0)</f>
        <v>0</v>
      </c>
      <c r="AH194" s="93">
        <f>IF(AQ194="0",BJ194,0)</f>
        <v>0</v>
      </c>
      <c r="AI194" s="71"/>
      <c r="AJ194" s="93">
        <f>IF(AN194=0,H194,0)</f>
        <v>0</v>
      </c>
      <c r="AK194" s="93">
        <f>IF(AN194=12,H194,0)</f>
        <v>0</v>
      </c>
      <c r="AL194" s="93">
        <f>IF(AN194=21,H194,0)</f>
        <v>0</v>
      </c>
      <c r="AN194" s="93">
        <v>21</v>
      </c>
      <c r="AO194" s="93">
        <f>G194*0</f>
        <v>0</v>
      </c>
      <c r="AP194" s="93">
        <f>G194*(1-0)</f>
        <v>0</v>
      </c>
      <c r="AQ194" s="95" t="s">
        <v>160</v>
      </c>
      <c r="AV194" s="93">
        <f>AW194+AX194</f>
        <v>0</v>
      </c>
      <c r="AW194" s="93">
        <f>F194*AO194</f>
        <v>0</v>
      </c>
      <c r="AX194" s="93">
        <f>F194*AP194</f>
        <v>0</v>
      </c>
      <c r="AY194" s="95" t="s">
        <v>309</v>
      </c>
      <c r="AZ194" s="95" t="s">
        <v>268</v>
      </c>
      <c r="BA194" s="71" t="s">
        <v>123</v>
      </c>
      <c r="BC194" s="93">
        <f>AW194+AX194</f>
        <v>0</v>
      </c>
      <c r="BD194" s="93">
        <f>G194/(100-BE194)*100</f>
        <v>0</v>
      </c>
      <c r="BE194" s="93">
        <v>0</v>
      </c>
      <c r="BF194" s="93">
        <f>J194</f>
        <v>0</v>
      </c>
      <c r="BH194" s="93">
        <f>F194*AO194</f>
        <v>0</v>
      </c>
      <c r="BI194" s="93">
        <f>F194*AP194</f>
        <v>0</v>
      </c>
      <c r="BJ194" s="93">
        <f>F194*G194</f>
        <v>0</v>
      </c>
      <c r="BK194" s="93"/>
      <c r="BL194" s="93">
        <v>766</v>
      </c>
      <c r="BW194" s="93">
        <v>21</v>
      </c>
    </row>
    <row r="195" spans="1:11" ht="15">
      <c r="A195" s="96"/>
      <c r="C195" s="98" t="s">
        <v>132</v>
      </c>
      <c r="D195" s="99"/>
      <c r="F195" s="100">
        <v>3</v>
      </c>
      <c r="K195" s="101"/>
    </row>
    <row r="196" spans="1:75" ht="13.5" customHeight="1">
      <c r="A196" s="92" t="s">
        <v>383</v>
      </c>
      <c r="B196" s="10" t="s">
        <v>384</v>
      </c>
      <c r="C196" s="8" t="s">
        <v>385</v>
      </c>
      <c r="D196" s="8"/>
      <c r="E196" s="10" t="s">
        <v>192</v>
      </c>
      <c r="F196" s="93">
        <v>3</v>
      </c>
      <c r="G196" s="93">
        <v>0</v>
      </c>
      <c r="H196" s="93">
        <f>F196*G196</f>
        <v>0</v>
      </c>
      <c r="I196" s="93">
        <v>0.00395</v>
      </c>
      <c r="J196" s="93">
        <f>F196*I196</f>
        <v>0.01185</v>
      </c>
      <c r="K196" s="94" t="s">
        <v>120</v>
      </c>
      <c r="Z196" s="93">
        <f>IF(AQ196="5",BJ196,0)</f>
        <v>0</v>
      </c>
      <c r="AB196" s="93">
        <f>IF(AQ196="1",BH196,0)</f>
        <v>0</v>
      </c>
      <c r="AC196" s="93">
        <f>IF(AQ196="1",BI196,0)</f>
        <v>0</v>
      </c>
      <c r="AD196" s="93">
        <f>IF(AQ196="7",BH196,0)</f>
        <v>0</v>
      </c>
      <c r="AE196" s="93">
        <f>IF(AQ196="7",BI196,0)</f>
        <v>0</v>
      </c>
      <c r="AF196" s="93">
        <f>IF(AQ196="2",BH196,0)</f>
        <v>0</v>
      </c>
      <c r="AG196" s="93">
        <f>IF(AQ196="2",BI196,0)</f>
        <v>0</v>
      </c>
      <c r="AH196" s="93">
        <f>IF(AQ196="0",BJ196,0)</f>
        <v>0</v>
      </c>
      <c r="AI196" s="71"/>
      <c r="AJ196" s="93">
        <f>IF(AN196=0,H196,0)</f>
        <v>0</v>
      </c>
      <c r="AK196" s="93">
        <f>IF(AN196=12,H196,0)</f>
        <v>0</v>
      </c>
      <c r="AL196" s="93">
        <f>IF(AN196=21,H196,0)</f>
        <v>0</v>
      </c>
      <c r="AN196" s="93">
        <v>21</v>
      </c>
      <c r="AO196" s="93">
        <f>G196*1</f>
        <v>0</v>
      </c>
      <c r="AP196" s="93">
        <f>G196*(1-1)</f>
        <v>0</v>
      </c>
      <c r="AQ196" s="95" t="s">
        <v>160</v>
      </c>
      <c r="AV196" s="93">
        <f>AW196+AX196</f>
        <v>0</v>
      </c>
      <c r="AW196" s="93">
        <f>F196*AO196</f>
        <v>0</v>
      </c>
      <c r="AX196" s="93">
        <f>F196*AP196</f>
        <v>0</v>
      </c>
      <c r="AY196" s="95" t="s">
        <v>309</v>
      </c>
      <c r="AZ196" s="95" t="s">
        <v>268</v>
      </c>
      <c r="BA196" s="71" t="s">
        <v>123</v>
      </c>
      <c r="BC196" s="93">
        <f>AW196+AX196</f>
        <v>0</v>
      </c>
      <c r="BD196" s="93">
        <f>G196/(100-BE196)*100</f>
        <v>0</v>
      </c>
      <c r="BE196" s="93">
        <v>0</v>
      </c>
      <c r="BF196" s="93">
        <f>J196</f>
        <v>0.01185</v>
      </c>
      <c r="BH196" s="93">
        <f>F196*AO196</f>
        <v>0</v>
      </c>
      <c r="BI196" s="93">
        <f>F196*AP196</f>
        <v>0</v>
      </c>
      <c r="BJ196" s="93">
        <f>F196*G196</f>
        <v>0</v>
      </c>
      <c r="BK196" s="93"/>
      <c r="BL196" s="93">
        <v>766</v>
      </c>
      <c r="BW196" s="93">
        <v>21</v>
      </c>
    </row>
    <row r="197" spans="1:11" ht="15">
      <c r="A197" s="96"/>
      <c r="C197" s="98" t="s">
        <v>132</v>
      </c>
      <c r="D197" s="99"/>
      <c r="F197" s="100">
        <v>3</v>
      </c>
      <c r="K197" s="101"/>
    </row>
    <row r="198" spans="1:75" ht="13.5" customHeight="1">
      <c r="A198" s="92" t="s">
        <v>386</v>
      </c>
      <c r="B198" s="10" t="s">
        <v>387</v>
      </c>
      <c r="C198" s="8" t="s">
        <v>388</v>
      </c>
      <c r="D198" s="8"/>
      <c r="E198" s="10" t="s">
        <v>302</v>
      </c>
      <c r="F198" s="93">
        <v>5.59941</v>
      </c>
      <c r="G198" s="93">
        <v>0</v>
      </c>
      <c r="H198" s="93">
        <f>F198*G198</f>
        <v>0</v>
      </c>
      <c r="I198" s="93">
        <v>0</v>
      </c>
      <c r="J198" s="93">
        <f>F198*I198</f>
        <v>0</v>
      </c>
      <c r="K198" s="94" t="s">
        <v>120</v>
      </c>
      <c r="Z198" s="93">
        <f>IF(AQ198="5",BJ198,0)</f>
        <v>0</v>
      </c>
      <c r="AB198" s="93">
        <f>IF(AQ198="1",BH198,0)</f>
        <v>0</v>
      </c>
      <c r="AC198" s="93">
        <f>IF(AQ198="1",BI198,0)</f>
        <v>0</v>
      </c>
      <c r="AD198" s="93">
        <f>IF(AQ198="7",BH198,0)</f>
        <v>0</v>
      </c>
      <c r="AE198" s="93">
        <f>IF(AQ198="7",BI198,0)</f>
        <v>0</v>
      </c>
      <c r="AF198" s="93">
        <f>IF(AQ198="2",BH198,0)</f>
        <v>0</v>
      </c>
      <c r="AG198" s="93">
        <f>IF(AQ198="2",BI198,0)</f>
        <v>0</v>
      </c>
      <c r="AH198" s="93">
        <f>IF(AQ198="0",BJ198,0)</f>
        <v>0</v>
      </c>
      <c r="AI198" s="71"/>
      <c r="AJ198" s="93">
        <f>IF(AN198=0,H198,0)</f>
        <v>0</v>
      </c>
      <c r="AK198" s="93">
        <f>IF(AN198=12,H198,0)</f>
        <v>0</v>
      </c>
      <c r="AL198" s="93">
        <f>IF(AN198=21,H198,0)</f>
        <v>0</v>
      </c>
      <c r="AN198" s="93">
        <v>21</v>
      </c>
      <c r="AO198" s="93">
        <f>G198*0</f>
        <v>0</v>
      </c>
      <c r="AP198" s="93">
        <f>G198*(1-0)</f>
        <v>0</v>
      </c>
      <c r="AQ198" s="95" t="s">
        <v>142</v>
      </c>
      <c r="AV198" s="93">
        <f>AW198+AX198</f>
        <v>0</v>
      </c>
      <c r="AW198" s="93">
        <f>F198*AO198</f>
        <v>0</v>
      </c>
      <c r="AX198" s="93">
        <f>F198*AP198</f>
        <v>0</v>
      </c>
      <c r="AY198" s="95" t="s">
        <v>309</v>
      </c>
      <c r="AZ198" s="95" t="s">
        <v>268</v>
      </c>
      <c r="BA198" s="71" t="s">
        <v>123</v>
      </c>
      <c r="BC198" s="93">
        <f>AW198+AX198</f>
        <v>0</v>
      </c>
      <c r="BD198" s="93">
        <f>G198/(100-BE198)*100</f>
        <v>0</v>
      </c>
      <c r="BE198" s="93">
        <v>0</v>
      </c>
      <c r="BF198" s="93">
        <f>J198</f>
        <v>0</v>
      </c>
      <c r="BH198" s="93">
        <f>F198*AO198</f>
        <v>0</v>
      </c>
      <c r="BI198" s="93">
        <f>F198*AP198</f>
        <v>0</v>
      </c>
      <c r="BJ198" s="93">
        <f>F198*G198</f>
        <v>0</v>
      </c>
      <c r="BK198" s="93"/>
      <c r="BL198" s="93">
        <v>766</v>
      </c>
      <c r="BW198" s="93">
        <v>21</v>
      </c>
    </row>
    <row r="199" spans="1:47" ht="15" customHeight="1">
      <c r="A199" s="87"/>
      <c r="B199" s="88" t="s">
        <v>389</v>
      </c>
      <c r="C199" s="89" t="s">
        <v>390</v>
      </c>
      <c r="D199" s="89"/>
      <c r="E199" s="90" t="s">
        <v>79</v>
      </c>
      <c r="F199" s="90" t="s">
        <v>79</v>
      </c>
      <c r="G199" s="90" t="s">
        <v>79</v>
      </c>
      <c r="H199" s="61">
        <f>SUM(H200:H216)</f>
        <v>0</v>
      </c>
      <c r="I199" s="71"/>
      <c r="J199" s="61">
        <f>SUM(J200:J216)</f>
        <v>0.3146995</v>
      </c>
      <c r="K199" s="91"/>
      <c r="AI199" s="71"/>
      <c r="AS199" s="61">
        <f>SUM(AJ200:AJ216)</f>
        <v>0</v>
      </c>
      <c r="AT199" s="61">
        <f>SUM(AK200:AK216)</f>
        <v>0</v>
      </c>
      <c r="AU199" s="61">
        <f>SUM(AL200:AL216)</f>
        <v>0</v>
      </c>
    </row>
    <row r="200" spans="1:75" ht="13.5" customHeight="1">
      <c r="A200" s="92" t="s">
        <v>391</v>
      </c>
      <c r="B200" s="10" t="s">
        <v>392</v>
      </c>
      <c r="C200" s="8" t="s">
        <v>393</v>
      </c>
      <c r="D200" s="8"/>
      <c r="E200" s="10" t="s">
        <v>135</v>
      </c>
      <c r="F200" s="93">
        <v>17.5348</v>
      </c>
      <c r="G200" s="93">
        <v>0</v>
      </c>
      <c r="H200" s="93">
        <f>F200*G200</f>
        <v>0</v>
      </c>
      <c r="I200" s="93">
        <v>0</v>
      </c>
      <c r="J200" s="93">
        <f>F200*I200</f>
        <v>0</v>
      </c>
      <c r="K200" s="94" t="s">
        <v>120</v>
      </c>
      <c r="Z200" s="93">
        <f>IF(AQ200="5",BJ200,0)</f>
        <v>0</v>
      </c>
      <c r="AB200" s="93">
        <f>IF(AQ200="1",BH200,0)</f>
        <v>0</v>
      </c>
      <c r="AC200" s="93">
        <f>IF(AQ200="1",BI200,0)</f>
        <v>0</v>
      </c>
      <c r="AD200" s="93">
        <f>IF(AQ200="7",BH200,0)</f>
        <v>0</v>
      </c>
      <c r="AE200" s="93">
        <f>IF(AQ200="7",BI200,0)</f>
        <v>0</v>
      </c>
      <c r="AF200" s="93">
        <f>IF(AQ200="2",BH200,0)</f>
        <v>0</v>
      </c>
      <c r="AG200" s="93">
        <f>IF(AQ200="2",BI200,0)</f>
        <v>0</v>
      </c>
      <c r="AH200" s="93">
        <f>IF(AQ200="0",BJ200,0)</f>
        <v>0</v>
      </c>
      <c r="AI200" s="71"/>
      <c r="AJ200" s="93">
        <f>IF(AN200=0,H200,0)</f>
        <v>0</v>
      </c>
      <c r="AK200" s="93">
        <f>IF(AN200=12,H200,0)</f>
        <v>0</v>
      </c>
      <c r="AL200" s="93">
        <f>IF(AN200=21,H200,0)</f>
        <v>0</v>
      </c>
      <c r="AN200" s="93">
        <v>21</v>
      </c>
      <c r="AO200" s="93">
        <f>G200*0</f>
        <v>0</v>
      </c>
      <c r="AP200" s="93">
        <f>G200*(1-0)</f>
        <v>0</v>
      </c>
      <c r="AQ200" s="95" t="s">
        <v>160</v>
      </c>
      <c r="AV200" s="93">
        <f>AW200+AX200</f>
        <v>0</v>
      </c>
      <c r="AW200" s="93">
        <f>F200*AO200</f>
        <v>0</v>
      </c>
      <c r="AX200" s="93">
        <f>F200*AP200</f>
        <v>0</v>
      </c>
      <c r="AY200" s="95" t="s">
        <v>394</v>
      </c>
      <c r="AZ200" s="95" t="s">
        <v>395</v>
      </c>
      <c r="BA200" s="71" t="s">
        <v>123</v>
      </c>
      <c r="BC200" s="93">
        <f>AW200+AX200</f>
        <v>0</v>
      </c>
      <c r="BD200" s="93">
        <f>G200/(100-BE200)*100</f>
        <v>0</v>
      </c>
      <c r="BE200" s="93">
        <v>0</v>
      </c>
      <c r="BF200" s="93">
        <f>J200</f>
        <v>0</v>
      </c>
      <c r="BH200" s="93">
        <f>F200*AO200</f>
        <v>0</v>
      </c>
      <c r="BI200" s="93">
        <f>F200*AP200</f>
        <v>0</v>
      </c>
      <c r="BJ200" s="93">
        <f>F200*G200</f>
        <v>0</v>
      </c>
      <c r="BK200" s="93"/>
      <c r="BL200" s="93">
        <v>781</v>
      </c>
      <c r="BW200" s="93">
        <v>21</v>
      </c>
    </row>
    <row r="201" spans="1:11" ht="15">
      <c r="A201" s="96"/>
      <c r="C201" s="98" t="s">
        <v>396</v>
      </c>
      <c r="D201" s="99"/>
      <c r="F201" s="100">
        <v>0</v>
      </c>
      <c r="K201" s="101"/>
    </row>
    <row r="202" spans="1:11" ht="15">
      <c r="A202" s="96"/>
      <c r="C202" s="98" t="s">
        <v>397</v>
      </c>
      <c r="D202" s="99"/>
      <c r="F202" s="100">
        <v>11.2358</v>
      </c>
      <c r="K202" s="101"/>
    </row>
    <row r="203" spans="1:11" ht="15">
      <c r="A203" s="96"/>
      <c r="C203" s="98" t="s">
        <v>398</v>
      </c>
      <c r="D203" s="99"/>
      <c r="F203" s="100">
        <v>3.725</v>
      </c>
      <c r="K203" s="101"/>
    </row>
    <row r="204" spans="1:11" ht="15">
      <c r="A204" s="96"/>
      <c r="C204" s="98" t="s">
        <v>399</v>
      </c>
      <c r="D204" s="99"/>
      <c r="F204" s="100">
        <v>2.574</v>
      </c>
      <c r="K204" s="101"/>
    </row>
    <row r="205" spans="1:75" ht="13.5" customHeight="1">
      <c r="A205" s="92" t="s">
        <v>400</v>
      </c>
      <c r="B205" s="10" t="s">
        <v>401</v>
      </c>
      <c r="C205" s="8" t="s">
        <v>402</v>
      </c>
      <c r="D205" s="8"/>
      <c r="E205" s="10" t="s">
        <v>135</v>
      </c>
      <c r="F205" s="93">
        <v>17.535</v>
      </c>
      <c r="G205" s="93">
        <v>0</v>
      </c>
      <c r="H205" s="93">
        <f>F205*G205</f>
        <v>0</v>
      </c>
      <c r="I205" s="93">
        <v>0.00016</v>
      </c>
      <c r="J205" s="93">
        <f>F205*I205</f>
        <v>0.0028056</v>
      </c>
      <c r="K205" s="94" t="s">
        <v>120</v>
      </c>
      <c r="Z205" s="93">
        <f>IF(AQ205="5",BJ205,0)</f>
        <v>0</v>
      </c>
      <c r="AB205" s="93">
        <f>IF(AQ205="1",BH205,0)</f>
        <v>0</v>
      </c>
      <c r="AC205" s="93">
        <f>IF(AQ205="1",BI205,0)</f>
        <v>0</v>
      </c>
      <c r="AD205" s="93">
        <f>IF(AQ205="7",BH205,0)</f>
        <v>0</v>
      </c>
      <c r="AE205" s="93">
        <f>IF(AQ205="7",BI205,0)</f>
        <v>0</v>
      </c>
      <c r="AF205" s="93">
        <f>IF(AQ205="2",BH205,0)</f>
        <v>0</v>
      </c>
      <c r="AG205" s="93">
        <f>IF(AQ205="2",BI205,0)</f>
        <v>0</v>
      </c>
      <c r="AH205" s="93">
        <f>IF(AQ205="0",BJ205,0)</f>
        <v>0</v>
      </c>
      <c r="AI205" s="71"/>
      <c r="AJ205" s="93">
        <f>IF(AN205=0,H205,0)</f>
        <v>0</v>
      </c>
      <c r="AK205" s="93">
        <f>IF(AN205=12,H205,0)</f>
        <v>0</v>
      </c>
      <c r="AL205" s="93">
        <f>IF(AN205=21,H205,0)</f>
        <v>0</v>
      </c>
      <c r="AN205" s="93">
        <v>21</v>
      </c>
      <c r="AO205" s="93">
        <f>G205*0.406953476</f>
        <v>0</v>
      </c>
      <c r="AP205" s="93">
        <f>G205*(1-0.406953476)</f>
        <v>0</v>
      </c>
      <c r="AQ205" s="95" t="s">
        <v>160</v>
      </c>
      <c r="AV205" s="93">
        <f>AW205+AX205</f>
        <v>0</v>
      </c>
      <c r="AW205" s="93">
        <f>F205*AO205</f>
        <v>0</v>
      </c>
      <c r="AX205" s="93">
        <f>F205*AP205</f>
        <v>0</v>
      </c>
      <c r="AY205" s="95" t="s">
        <v>394</v>
      </c>
      <c r="AZ205" s="95" t="s">
        <v>395</v>
      </c>
      <c r="BA205" s="71" t="s">
        <v>123</v>
      </c>
      <c r="BC205" s="93">
        <f>AW205+AX205</f>
        <v>0</v>
      </c>
      <c r="BD205" s="93">
        <f>G205/(100-BE205)*100</f>
        <v>0</v>
      </c>
      <c r="BE205" s="93">
        <v>0</v>
      </c>
      <c r="BF205" s="93">
        <f>J205</f>
        <v>0.0028056</v>
      </c>
      <c r="BH205" s="93">
        <f>F205*AO205</f>
        <v>0</v>
      </c>
      <c r="BI205" s="93">
        <f>F205*AP205</f>
        <v>0</v>
      </c>
      <c r="BJ205" s="93">
        <f>F205*G205</f>
        <v>0</v>
      </c>
      <c r="BK205" s="93"/>
      <c r="BL205" s="93">
        <v>781</v>
      </c>
      <c r="BW205" s="93">
        <v>21</v>
      </c>
    </row>
    <row r="206" spans="1:11" ht="13.5" customHeight="1">
      <c r="A206" s="96"/>
      <c r="C206" s="97" t="s">
        <v>403</v>
      </c>
      <c r="D206" s="97"/>
      <c r="E206" s="97"/>
      <c r="F206" s="97"/>
      <c r="G206" s="97"/>
      <c r="H206" s="97"/>
      <c r="I206" s="97"/>
      <c r="J206" s="97"/>
      <c r="K206" s="97"/>
    </row>
    <row r="207" spans="1:11" ht="15">
      <c r="A207" s="96"/>
      <c r="C207" s="98" t="s">
        <v>404</v>
      </c>
      <c r="D207" s="99"/>
      <c r="F207" s="100">
        <v>17.535</v>
      </c>
      <c r="K207" s="101"/>
    </row>
    <row r="208" spans="1:75" ht="13.5" customHeight="1">
      <c r="A208" s="92" t="s">
        <v>405</v>
      </c>
      <c r="B208" s="10" t="s">
        <v>406</v>
      </c>
      <c r="C208" s="8" t="s">
        <v>407</v>
      </c>
      <c r="D208" s="8"/>
      <c r="E208" s="10" t="s">
        <v>135</v>
      </c>
      <c r="F208" s="93">
        <v>17.53</v>
      </c>
      <c r="G208" s="93">
        <v>0</v>
      </c>
      <c r="H208" s="93">
        <f>F208*G208</f>
        <v>0</v>
      </c>
      <c r="I208" s="93">
        <v>0.00487</v>
      </c>
      <c r="J208" s="93">
        <f>F208*I208</f>
        <v>0.0853711</v>
      </c>
      <c r="K208" s="94" t="s">
        <v>120</v>
      </c>
      <c r="Z208" s="93">
        <f>IF(AQ208="5",BJ208,0)</f>
        <v>0</v>
      </c>
      <c r="AB208" s="93">
        <f>IF(AQ208="1",BH208,0)</f>
        <v>0</v>
      </c>
      <c r="AC208" s="93">
        <f>IF(AQ208="1",BI208,0)</f>
        <v>0</v>
      </c>
      <c r="AD208" s="93">
        <f>IF(AQ208="7",BH208,0)</f>
        <v>0</v>
      </c>
      <c r="AE208" s="93">
        <f>IF(AQ208="7",BI208,0)</f>
        <v>0</v>
      </c>
      <c r="AF208" s="93">
        <f>IF(AQ208="2",BH208,0)</f>
        <v>0</v>
      </c>
      <c r="AG208" s="93">
        <f>IF(AQ208="2",BI208,0)</f>
        <v>0</v>
      </c>
      <c r="AH208" s="93">
        <f>IF(AQ208="0",BJ208,0)</f>
        <v>0</v>
      </c>
      <c r="AI208" s="71"/>
      <c r="AJ208" s="93">
        <f>IF(AN208=0,H208,0)</f>
        <v>0</v>
      </c>
      <c r="AK208" s="93">
        <f>IF(AN208=12,H208,0)</f>
        <v>0</v>
      </c>
      <c r="AL208" s="93">
        <f>IF(AN208=21,H208,0)</f>
        <v>0</v>
      </c>
      <c r="AN208" s="93">
        <v>21</v>
      </c>
      <c r="AO208" s="93">
        <f>G208*0.168177583</f>
        <v>0</v>
      </c>
      <c r="AP208" s="93">
        <f>G208*(1-0.168177583)</f>
        <v>0</v>
      </c>
      <c r="AQ208" s="95" t="s">
        <v>160</v>
      </c>
      <c r="AV208" s="93">
        <f>AW208+AX208</f>
        <v>0</v>
      </c>
      <c r="AW208" s="93">
        <f>F208*AO208</f>
        <v>0</v>
      </c>
      <c r="AX208" s="93">
        <f>F208*AP208</f>
        <v>0</v>
      </c>
      <c r="AY208" s="95" t="s">
        <v>394</v>
      </c>
      <c r="AZ208" s="95" t="s">
        <v>395</v>
      </c>
      <c r="BA208" s="71" t="s">
        <v>123</v>
      </c>
      <c r="BC208" s="93">
        <f>AW208+AX208</f>
        <v>0</v>
      </c>
      <c r="BD208" s="93">
        <f>G208/(100-BE208)*100</f>
        <v>0</v>
      </c>
      <c r="BE208" s="93">
        <v>0</v>
      </c>
      <c r="BF208" s="93">
        <f>J208</f>
        <v>0.0853711</v>
      </c>
      <c r="BH208" s="93">
        <f>F208*AO208</f>
        <v>0</v>
      </c>
      <c r="BI208" s="93">
        <f>F208*AP208</f>
        <v>0</v>
      </c>
      <c r="BJ208" s="93">
        <f>F208*G208</f>
        <v>0</v>
      </c>
      <c r="BK208" s="93"/>
      <c r="BL208" s="93">
        <v>781</v>
      </c>
      <c r="BW208" s="93">
        <v>21</v>
      </c>
    </row>
    <row r="209" spans="1:11" ht="15">
      <c r="A209" s="96"/>
      <c r="C209" s="98" t="s">
        <v>408</v>
      </c>
      <c r="D209" s="99"/>
      <c r="F209" s="100">
        <v>17.53</v>
      </c>
      <c r="K209" s="101"/>
    </row>
    <row r="210" spans="1:75" ht="13.5" customHeight="1">
      <c r="A210" s="92" t="s">
        <v>409</v>
      </c>
      <c r="B210" s="10" t="s">
        <v>410</v>
      </c>
      <c r="C210" s="8" t="s">
        <v>411</v>
      </c>
      <c r="D210" s="8"/>
      <c r="E210" s="10" t="s">
        <v>135</v>
      </c>
      <c r="F210" s="93">
        <v>18.4065</v>
      </c>
      <c r="G210" s="93">
        <v>0</v>
      </c>
      <c r="H210" s="93">
        <f>F210*G210</f>
        <v>0</v>
      </c>
      <c r="I210" s="93">
        <v>0.0122</v>
      </c>
      <c r="J210" s="93">
        <f>F210*I210</f>
        <v>0.2245593</v>
      </c>
      <c r="K210" s="94" t="s">
        <v>120</v>
      </c>
      <c r="Z210" s="93">
        <f>IF(AQ210="5",BJ210,0)</f>
        <v>0</v>
      </c>
      <c r="AB210" s="93">
        <f>IF(AQ210="1",BH210,0)</f>
        <v>0</v>
      </c>
      <c r="AC210" s="93">
        <f>IF(AQ210="1",BI210,0)</f>
        <v>0</v>
      </c>
      <c r="AD210" s="93">
        <f>IF(AQ210="7",BH210,0)</f>
        <v>0</v>
      </c>
      <c r="AE210" s="93">
        <f>IF(AQ210="7",BI210,0)</f>
        <v>0</v>
      </c>
      <c r="AF210" s="93">
        <f>IF(AQ210="2",BH210,0)</f>
        <v>0</v>
      </c>
      <c r="AG210" s="93">
        <f>IF(AQ210="2",BI210,0)</f>
        <v>0</v>
      </c>
      <c r="AH210" s="93">
        <f>IF(AQ210="0",BJ210,0)</f>
        <v>0</v>
      </c>
      <c r="AI210" s="71"/>
      <c r="AJ210" s="93">
        <f>IF(AN210=0,H210,0)</f>
        <v>0</v>
      </c>
      <c r="AK210" s="93">
        <f>IF(AN210=12,H210,0)</f>
        <v>0</v>
      </c>
      <c r="AL210" s="93">
        <f>IF(AN210=21,H210,0)</f>
        <v>0</v>
      </c>
      <c r="AN210" s="93">
        <v>21</v>
      </c>
      <c r="AO210" s="93">
        <f>G210*1</f>
        <v>0</v>
      </c>
      <c r="AP210" s="93">
        <f>G210*(1-1)</f>
        <v>0</v>
      </c>
      <c r="AQ210" s="95" t="s">
        <v>160</v>
      </c>
      <c r="AV210" s="93">
        <f>AW210+AX210</f>
        <v>0</v>
      </c>
      <c r="AW210" s="93">
        <f>F210*AO210</f>
        <v>0</v>
      </c>
      <c r="AX210" s="93">
        <f>F210*AP210</f>
        <v>0</v>
      </c>
      <c r="AY210" s="95" t="s">
        <v>394</v>
      </c>
      <c r="AZ210" s="95" t="s">
        <v>395</v>
      </c>
      <c r="BA210" s="71" t="s">
        <v>123</v>
      </c>
      <c r="BC210" s="93">
        <f>AW210+AX210</f>
        <v>0</v>
      </c>
      <c r="BD210" s="93">
        <f>G210/(100-BE210)*100</f>
        <v>0</v>
      </c>
      <c r="BE210" s="93">
        <v>0</v>
      </c>
      <c r="BF210" s="93">
        <f>J210</f>
        <v>0.2245593</v>
      </c>
      <c r="BH210" s="93">
        <f>F210*AO210</f>
        <v>0</v>
      </c>
      <c r="BI210" s="93">
        <f>F210*AP210</f>
        <v>0</v>
      </c>
      <c r="BJ210" s="93">
        <f>F210*G210</f>
        <v>0</v>
      </c>
      <c r="BK210" s="93"/>
      <c r="BL210" s="93">
        <v>781</v>
      </c>
      <c r="BW210" s="93">
        <v>21</v>
      </c>
    </row>
    <row r="211" spans="1:11" ht="15">
      <c r="A211" s="96"/>
      <c r="C211" s="98" t="s">
        <v>408</v>
      </c>
      <c r="D211" s="99"/>
      <c r="F211" s="100">
        <v>17.53</v>
      </c>
      <c r="K211" s="101"/>
    </row>
    <row r="212" spans="1:11" ht="15">
      <c r="A212" s="96"/>
      <c r="C212" s="98" t="s">
        <v>412</v>
      </c>
      <c r="D212" s="99"/>
      <c r="F212" s="100">
        <v>0.8765</v>
      </c>
      <c r="K212" s="101"/>
    </row>
    <row r="213" spans="1:75" ht="13.5" customHeight="1">
      <c r="A213" s="92" t="s">
        <v>413</v>
      </c>
      <c r="B213" s="10" t="s">
        <v>414</v>
      </c>
      <c r="C213" s="8" t="s">
        <v>415</v>
      </c>
      <c r="D213" s="8"/>
      <c r="E213" s="10" t="s">
        <v>175</v>
      </c>
      <c r="F213" s="93">
        <v>11.55</v>
      </c>
      <c r="G213" s="93">
        <v>0</v>
      </c>
      <c r="H213" s="93">
        <f>F213*G213</f>
        <v>0</v>
      </c>
      <c r="I213" s="93">
        <v>0.00017</v>
      </c>
      <c r="J213" s="93">
        <f>F213*I213</f>
        <v>0.0019635</v>
      </c>
      <c r="K213" s="94" t="s">
        <v>120</v>
      </c>
      <c r="Z213" s="93">
        <f>IF(AQ213="5",BJ213,0)</f>
        <v>0</v>
      </c>
      <c r="AB213" s="93">
        <f>IF(AQ213="1",BH213,0)</f>
        <v>0</v>
      </c>
      <c r="AC213" s="93">
        <f>IF(AQ213="1",BI213,0)</f>
        <v>0</v>
      </c>
      <c r="AD213" s="93">
        <f>IF(AQ213="7",BH213,0)</f>
        <v>0</v>
      </c>
      <c r="AE213" s="93">
        <f>IF(AQ213="7",BI213,0)</f>
        <v>0</v>
      </c>
      <c r="AF213" s="93">
        <f>IF(AQ213="2",BH213,0)</f>
        <v>0</v>
      </c>
      <c r="AG213" s="93">
        <f>IF(AQ213="2",BI213,0)</f>
        <v>0</v>
      </c>
      <c r="AH213" s="93">
        <f>IF(AQ213="0",BJ213,0)</f>
        <v>0</v>
      </c>
      <c r="AI213" s="71"/>
      <c r="AJ213" s="93">
        <f>IF(AN213=0,H213,0)</f>
        <v>0</v>
      </c>
      <c r="AK213" s="93">
        <f>IF(AN213=12,H213,0)</f>
        <v>0</v>
      </c>
      <c r="AL213" s="93">
        <f>IF(AN213=21,H213,0)</f>
        <v>0</v>
      </c>
      <c r="AN213" s="93">
        <v>21</v>
      </c>
      <c r="AO213" s="93">
        <f>G213*0.788045732</f>
        <v>0</v>
      </c>
      <c r="AP213" s="93">
        <f>G213*(1-0.788045732)</f>
        <v>0</v>
      </c>
      <c r="AQ213" s="95" t="s">
        <v>160</v>
      </c>
      <c r="AV213" s="93">
        <f>AW213+AX213</f>
        <v>0</v>
      </c>
      <c r="AW213" s="93">
        <f>F213*AO213</f>
        <v>0</v>
      </c>
      <c r="AX213" s="93">
        <f>F213*AP213</f>
        <v>0</v>
      </c>
      <c r="AY213" s="95" t="s">
        <v>394</v>
      </c>
      <c r="AZ213" s="95" t="s">
        <v>395</v>
      </c>
      <c r="BA213" s="71" t="s">
        <v>123</v>
      </c>
      <c r="BC213" s="93">
        <f>AW213+AX213</f>
        <v>0</v>
      </c>
      <c r="BD213" s="93">
        <f>G213/(100-BE213)*100</f>
        <v>0</v>
      </c>
      <c r="BE213" s="93">
        <v>0</v>
      </c>
      <c r="BF213" s="93">
        <f>J213</f>
        <v>0.0019635</v>
      </c>
      <c r="BH213" s="93">
        <f>F213*AO213</f>
        <v>0</v>
      </c>
      <c r="BI213" s="93">
        <f>F213*AP213</f>
        <v>0</v>
      </c>
      <c r="BJ213" s="93">
        <f>F213*G213</f>
        <v>0</v>
      </c>
      <c r="BK213" s="93"/>
      <c r="BL213" s="93">
        <v>781</v>
      </c>
      <c r="BW213" s="93">
        <v>21</v>
      </c>
    </row>
    <row r="214" spans="1:11" ht="13.5" customHeight="1">
      <c r="A214" s="96"/>
      <c r="C214" s="97" t="s">
        <v>416</v>
      </c>
      <c r="D214" s="97"/>
      <c r="E214" s="97"/>
      <c r="F214" s="97"/>
      <c r="G214" s="97"/>
      <c r="H214" s="97"/>
      <c r="I214" s="97"/>
      <c r="J214" s="97"/>
      <c r="K214" s="97"/>
    </row>
    <row r="215" spans="1:11" ht="15">
      <c r="A215" s="96"/>
      <c r="C215" s="98" t="s">
        <v>417</v>
      </c>
      <c r="D215" s="99"/>
      <c r="F215" s="100">
        <v>11.55</v>
      </c>
      <c r="K215" s="101"/>
    </row>
    <row r="216" spans="1:75" ht="13.5" customHeight="1">
      <c r="A216" s="92" t="s">
        <v>418</v>
      </c>
      <c r="B216" s="10" t="s">
        <v>419</v>
      </c>
      <c r="C216" s="8" t="s">
        <v>420</v>
      </c>
      <c r="D216" s="8"/>
      <c r="E216" s="10" t="s">
        <v>302</v>
      </c>
      <c r="F216" s="93">
        <v>0.3147</v>
      </c>
      <c r="G216" s="93">
        <v>0</v>
      </c>
      <c r="H216" s="93">
        <f>F216*G216</f>
        <v>0</v>
      </c>
      <c r="I216" s="93">
        <v>0</v>
      </c>
      <c r="J216" s="93">
        <f>F216*I216</f>
        <v>0</v>
      </c>
      <c r="K216" s="94" t="s">
        <v>120</v>
      </c>
      <c r="Z216" s="93">
        <f>IF(AQ216="5",BJ216,0)</f>
        <v>0</v>
      </c>
      <c r="AB216" s="93">
        <f>IF(AQ216="1",BH216,0)</f>
        <v>0</v>
      </c>
      <c r="AC216" s="93">
        <f>IF(AQ216="1",BI216,0)</f>
        <v>0</v>
      </c>
      <c r="AD216" s="93">
        <f>IF(AQ216="7",BH216,0)</f>
        <v>0</v>
      </c>
      <c r="AE216" s="93">
        <f>IF(AQ216="7",BI216,0)</f>
        <v>0</v>
      </c>
      <c r="AF216" s="93">
        <f>IF(AQ216="2",BH216,0)</f>
        <v>0</v>
      </c>
      <c r="AG216" s="93">
        <f>IF(AQ216="2",BI216,0)</f>
        <v>0</v>
      </c>
      <c r="AH216" s="93">
        <f>IF(AQ216="0",BJ216,0)</f>
        <v>0</v>
      </c>
      <c r="AI216" s="71"/>
      <c r="AJ216" s="93">
        <f>IF(AN216=0,H216,0)</f>
        <v>0</v>
      </c>
      <c r="AK216" s="93">
        <f>IF(AN216=12,H216,0)</f>
        <v>0</v>
      </c>
      <c r="AL216" s="93">
        <f>IF(AN216=21,H216,0)</f>
        <v>0</v>
      </c>
      <c r="AN216" s="93">
        <v>21</v>
      </c>
      <c r="AO216" s="93">
        <f>G216*0</f>
        <v>0</v>
      </c>
      <c r="AP216" s="93">
        <f>G216*(1-0)</f>
        <v>0</v>
      </c>
      <c r="AQ216" s="95" t="s">
        <v>142</v>
      </c>
      <c r="AV216" s="93">
        <f>AW216+AX216</f>
        <v>0</v>
      </c>
      <c r="AW216" s="93">
        <f>F216*AO216</f>
        <v>0</v>
      </c>
      <c r="AX216" s="93">
        <f>F216*AP216</f>
        <v>0</v>
      </c>
      <c r="AY216" s="95" t="s">
        <v>394</v>
      </c>
      <c r="AZ216" s="95" t="s">
        <v>395</v>
      </c>
      <c r="BA216" s="71" t="s">
        <v>123</v>
      </c>
      <c r="BC216" s="93">
        <f>AW216+AX216</f>
        <v>0</v>
      </c>
      <c r="BD216" s="93">
        <f>G216/(100-BE216)*100</f>
        <v>0</v>
      </c>
      <c r="BE216" s="93">
        <v>0</v>
      </c>
      <c r="BF216" s="93">
        <f>J216</f>
        <v>0</v>
      </c>
      <c r="BH216" s="93">
        <f>F216*AO216</f>
        <v>0</v>
      </c>
      <c r="BI216" s="93">
        <f>F216*AP216</f>
        <v>0</v>
      </c>
      <c r="BJ216" s="93">
        <f>F216*G216</f>
        <v>0</v>
      </c>
      <c r="BK216" s="93"/>
      <c r="BL216" s="93">
        <v>781</v>
      </c>
      <c r="BW216" s="93">
        <v>21</v>
      </c>
    </row>
    <row r="217" spans="1:47" ht="15" customHeight="1">
      <c r="A217" s="87"/>
      <c r="B217" s="88" t="s">
        <v>421</v>
      </c>
      <c r="C217" s="89" t="s">
        <v>422</v>
      </c>
      <c r="D217" s="89"/>
      <c r="E217" s="90" t="s">
        <v>79</v>
      </c>
      <c r="F217" s="90" t="s">
        <v>79</v>
      </c>
      <c r="G217" s="90" t="s">
        <v>79</v>
      </c>
      <c r="H217" s="61">
        <f>SUM(H218:H218)</f>
        <v>0</v>
      </c>
      <c r="I217" s="71"/>
      <c r="J217" s="61">
        <f>SUM(J218:J218)</f>
        <v>0.021</v>
      </c>
      <c r="K217" s="91"/>
      <c r="AI217" s="71"/>
      <c r="AS217" s="61">
        <f>SUM(AJ218:AJ218)</f>
        <v>0</v>
      </c>
      <c r="AT217" s="61">
        <f>SUM(AK218:AK218)</f>
        <v>0</v>
      </c>
      <c r="AU217" s="61">
        <f>SUM(AL218:AL218)</f>
        <v>0</v>
      </c>
    </row>
    <row r="218" spans="1:75" ht="13.5" customHeight="1">
      <c r="A218" s="92" t="s">
        <v>423</v>
      </c>
      <c r="B218" s="10" t="s">
        <v>424</v>
      </c>
      <c r="C218" s="8" t="s">
        <v>425</v>
      </c>
      <c r="D218" s="8"/>
      <c r="E218" s="10" t="s">
        <v>135</v>
      </c>
      <c r="F218" s="93">
        <v>0.42</v>
      </c>
      <c r="G218" s="93">
        <v>0</v>
      </c>
      <c r="H218" s="93">
        <f>F218*G218</f>
        <v>0</v>
      </c>
      <c r="I218" s="93">
        <v>0.05</v>
      </c>
      <c r="J218" s="93">
        <f>F218*I218</f>
        <v>0.021</v>
      </c>
      <c r="K218" s="94"/>
      <c r="Z218" s="93">
        <f>IF(AQ218="5",BJ218,0)</f>
        <v>0</v>
      </c>
      <c r="AB218" s="93">
        <f>IF(AQ218="1",BH218,0)</f>
        <v>0</v>
      </c>
      <c r="AC218" s="93">
        <f>IF(AQ218="1",BI218,0)</f>
        <v>0</v>
      </c>
      <c r="AD218" s="93">
        <f>IF(AQ218="7",BH218,0)</f>
        <v>0</v>
      </c>
      <c r="AE218" s="93">
        <f>IF(AQ218="7",BI218,0)</f>
        <v>0</v>
      </c>
      <c r="AF218" s="93">
        <f>IF(AQ218="2",BH218,0)</f>
        <v>0</v>
      </c>
      <c r="AG218" s="93">
        <f>IF(AQ218="2",BI218,0)</f>
        <v>0</v>
      </c>
      <c r="AH218" s="93">
        <f>IF(AQ218="0",BJ218,0)</f>
        <v>0</v>
      </c>
      <c r="AI218" s="71"/>
      <c r="AJ218" s="93">
        <f>IF(AN218=0,H218,0)</f>
        <v>0</v>
      </c>
      <c r="AK218" s="93">
        <f>IF(AN218=12,H218,0)</f>
        <v>0</v>
      </c>
      <c r="AL218" s="93">
        <f>IF(AN218=21,H218,0)</f>
        <v>0</v>
      </c>
      <c r="AN218" s="93">
        <v>21</v>
      </c>
      <c r="AO218" s="93">
        <f>G218*0.285714286</f>
        <v>0</v>
      </c>
      <c r="AP218" s="93">
        <f>G218*(1-0.285714286)</f>
        <v>0</v>
      </c>
      <c r="AQ218" s="95" t="s">
        <v>160</v>
      </c>
      <c r="AV218" s="93">
        <f>AW218+AX218</f>
        <v>0</v>
      </c>
      <c r="AW218" s="93">
        <f>F218*AO218</f>
        <v>0</v>
      </c>
      <c r="AX218" s="93">
        <f>F218*AP218</f>
        <v>0</v>
      </c>
      <c r="AY218" s="95" t="s">
        <v>426</v>
      </c>
      <c r="AZ218" s="95" t="s">
        <v>395</v>
      </c>
      <c r="BA218" s="71" t="s">
        <v>123</v>
      </c>
      <c r="BC218" s="93">
        <f>AW218+AX218</f>
        <v>0</v>
      </c>
      <c r="BD218" s="93">
        <f>G218/(100-BE218)*100</f>
        <v>0</v>
      </c>
      <c r="BE218" s="93">
        <v>0</v>
      </c>
      <c r="BF218" s="93">
        <f>J218</f>
        <v>0.021</v>
      </c>
      <c r="BH218" s="93">
        <f>F218*AO218</f>
        <v>0</v>
      </c>
      <c r="BI218" s="93">
        <f>F218*AP218</f>
        <v>0</v>
      </c>
      <c r="BJ218" s="93">
        <f>F218*G218</f>
        <v>0</v>
      </c>
      <c r="BK218" s="93"/>
      <c r="BL218" s="93">
        <v>782</v>
      </c>
      <c r="BW218" s="93">
        <v>21</v>
      </c>
    </row>
    <row r="219" spans="1:11" ht="13.5" customHeight="1">
      <c r="A219" s="96"/>
      <c r="C219" s="97" t="s">
        <v>427</v>
      </c>
      <c r="D219" s="97"/>
      <c r="E219" s="97"/>
      <c r="F219" s="97"/>
      <c r="G219" s="97"/>
      <c r="H219" s="97"/>
      <c r="I219" s="97"/>
      <c r="J219" s="97"/>
      <c r="K219" s="97"/>
    </row>
    <row r="220" spans="1:11" ht="15">
      <c r="A220" s="96"/>
      <c r="C220" s="98" t="s">
        <v>428</v>
      </c>
      <c r="D220" s="99"/>
      <c r="F220" s="100">
        <v>0.42</v>
      </c>
      <c r="K220" s="101"/>
    </row>
    <row r="221" spans="1:47" ht="15" customHeight="1">
      <c r="A221" s="87"/>
      <c r="B221" s="88" t="s">
        <v>429</v>
      </c>
      <c r="C221" s="89" t="s">
        <v>430</v>
      </c>
      <c r="D221" s="89"/>
      <c r="E221" s="90" t="s">
        <v>79</v>
      </c>
      <c r="F221" s="90" t="s">
        <v>79</v>
      </c>
      <c r="G221" s="90" t="s">
        <v>79</v>
      </c>
      <c r="H221" s="61">
        <f>SUM(H222:H233)</f>
        <v>0</v>
      </c>
      <c r="I221" s="71"/>
      <c r="J221" s="61">
        <f>SUM(J222:J233)</f>
        <v>0.2493338</v>
      </c>
      <c r="K221" s="91"/>
      <c r="AI221" s="71"/>
      <c r="AS221" s="61">
        <f>SUM(AJ222:AJ233)</f>
        <v>0</v>
      </c>
      <c r="AT221" s="61">
        <f>SUM(AK222:AK233)</f>
        <v>0</v>
      </c>
      <c r="AU221" s="61">
        <f>SUM(AL222:AL233)</f>
        <v>0</v>
      </c>
    </row>
    <row r="222" spans="1:75" ht="13.5" customHeight="1">
      <c r="A222" s="92" t="s">
        <v>431</v>
      </c>
      <c r="B222" s="10" t="s">
        <v>432</v>
      </c>
      <c r="C222" s="8" t="s">
        <v>433</v>
      </c>
      <c r="D222" s="8"/>
      <c r="E222" s="10" t="s">
        <v>135</v>
      </c>
      <c r="F222" s="93">
        <v>465.036</v>
      </c>
      <c r="G222" s="93">
        <v>0</v>
      </c>
      <c r="H222" s="93">
        <f>F222*G222</f>
        <v>0</v>
      </c>
      <c r="I222" s="93">
        <v>0.00035</v>
      </c>
      <c r="J222" s="93">
        <f>F222*I222</f>
        <v>0.1627626</v>
      </c>
      <c r="K222" s="94" t="s">
        <v>120</v>
      </c>
      <c r="Z222" s="93">
        <f>IF(AQ222="5",BJ222,0)</f>
        <v>0</v>
      </c>
      <c r="AB222" s="93">
        <f>IF(AQ222="1",BH222,0)</f>
        <v>0</v>
      </c>
      <c r="AC222" s="93">
        <f>IF(AQ222="1",BI222,0)</f>
        <v>0</v>
      </c>
      <c r="AD222" s="93">
        <f>IF(AQ222="7",BH222,0)</f>
        <v>0</v>
      </c>
      <c r="AE222" s="93">
        <f>IF(AQ222="7",BI222,0)</f>
        <v>0</v>
      </c>
      <c r="AF222" s="93">
        <f>IF(AQ222="2",BH222,0)</f>
        <v>0</v>
      </c>
      <c r="AG222" s="93">
        <f>IF(AQ222="2",BI222,0)</f>
        <v>0</v>
      </c>
      <c r="AH222" s="93">
        <f>IF(AQ222="0",BJ222,0)</f>
        <v>0</v>
      </c>
      <c r="AI222" s="71"/>
      <c r="AJ222" s="93">
        <f>IF(AN222=0,H222,0)</f>
        <v>0</v>
      </c>
      <c r="AK222" s="93">
        <f>IF(AN222=12,H222,0)</f>
        <v>0</v>
      </c>
      <c r="AL222" s="93">
        <f>IF(AN222=21,H222,0)</f>
        <v>0</v>
      </c>
      <c r="AN222" s="93">
        <v>21</v>
      </c>
      <c r="AO222" s="93">
        <f>G222*0.642235799</f>
        <v>0</v>
      </c>
      <c r="AP222" s="93">
        <f>G222*(1-0.642235799)</f>
        <v>0</v>
      </c>
      <c r="AQ222" s="95" t="s">
        <v>160</v>
      </c>
      <c r="AV222" s="93">
        <f>AW222+AX222</f>
        <v>0</v>
      </c>
      <c r="AW222" s="93">
        <f>F222*AO222</f>
        <v>0</v>
      </c>
      <c r="AX222" s="93">
        <f>F222*AP222</f>
        <v>0</v>
      </c>
      <c r="AY222" s="95" t="s">
        <v>434</v>
      </c>
      <c r="AZ222" s="95" t="s">
        <v>395</v>
      </c>
      <c r="BA222" s="71" t="s">
        <v>123</v>
      </c>
      <c r="BC222" s="93">
        <f>AW222+AX222</f>
        <v>0</v>
      </c>
      <c r="BD222" s="93">
        <f>G222/(100-BE222)*100</f>
        <v>0</v>
      </c>
      <c r="BE222" s="93">
        <v>0</v>
      </c>
      <c r="BF222" s="93">
        <f>J222</f>
        <v>0.1627626</v>
      </c>
      <c r="BH222" s="93">
        <f>F222*AO222</f>
        <v>0</v>
      </c>
      <c r="BI222" s="93">
        <f>F222*AP222</f>
        <v>0</v>
      </c>
      <c r="BJ222" s="93">
        <f>F222*G222</f>
        <v>0</v>
      </c>
      <c r="BK222" s="93"/>
      <c r="BL222" s="93">
        <v>784</v>
      </c>
      <c r="BW222" s="93">
        <v>21</v>
      </c>
    </row>
    <row r="223" spans="1:11" ht="27" customHeight="1">
      <c r="A223" s="96"/>
      <c r="C223" s="97" t="s">
        <v>435</v>
      </c>
      <c r="D223" s="97"/>
      <c r="E223" s="97"/>
      <c r="F223" s="97"/>
      <c r="G223" s="97"/>
      <c r="H223" s="97"/>
      <c r="I223" s="97"/>
      <c r="J223" s="97"/>
      <c r="K223" s="97"/>
    </row>
    <row r="224" spans="1:11" ht="15">
      <c r="A224" s="96"/>
      <c r="C224" s="98" t="s">
        <v>436</v>
      </c>
      <c r="D224" s="99"/>
      <c r="F224" s="100">
        <v>28.8</v>
      </c>
      <c r="K224" s="101"/>
    </row>
    <row r="225" spans="1:11" ht="15">
      <c r="A225" s="96"/>
      <c r="C225" s="98" t="s">
        <v>437</v>
      </c>
      <c r="D225" s="99"/>
      <c r="F225" s="100">
        <v>297.396</v>
      </c>
      <c r="K225" s="101"/>
    </row>
    <row r="226" spans="1:11" ht="15">
      <c r="A226" s="96"/>
      <c r="C226" s="98" t="s">
        <v>438</v>
      </c>
      <c r="D226" s="99"/>
      <c r="F226" s="100">
        <v>138.84</v>
      </c>
      <c r="K226" s="101"/>
    </row>
    <row r="227" spans="1:75" ht="13.5" customHeight="1">
      <c r="A227" s="92" t="s">
        <v>439</v>
      </c>
      <c r="B227" s="10" t="s">
        <v>440</v>
      </c>
      <c r="C227" s="8" t="s">
        <v>441</v>
      </c>
      <c r="D227" s="8"/>
      <c r="E227" s="10" t="s">
        <v>135</v>
      </c>
      <c r="F227" s="93">
        <v>1000</v>
      </c>
      <c r="G227" s="93">
        <v>0</v>
      </c>
      <c r="H227" s="93">
        <f>F227*G227</f>
        <v>0</v>
      </c>
      <c r="I227" s="93">
        <v>2E-05</v>
      </c>
      <c r="J227" s="93">
        <f>F227*I227</f>
        <v>0.02</v>
      </c>
      <c r="K227" s="94" t="s">
        <v>120</v>
      </c>
      <c r="Z227" s="93">
        <f>IF(AQ227="5",BJ227,0)</f>
        <v>0</v>
      </c>
      <c r="AB227" s="93">
        <f>IF(AQ227="1",BH227,0)</f>
        <v>0</v>
      </c>
      <c r="AC227" s="93">
        <f>IF(AQ227="1",BI227,0)</f>
        <v>0</v>
      </c>
      <c r="AD227" s="93">
        <f>IF(AQ227="7",BH227,0)</f>
        <v>0</v>
      </c>
      <c r="AE227" s="93">
        <f>IF(AQ227="7",BI227,0)</f>
        <v>0</v>
      </c>
      <c r="AF227" s="93">
        <f>IF(AQ227="2",BH227,0)</f>
        <v>0</v>
      </c>
      <c r="AG227" s="93">
        <f>IF(AQ227="2",BI227,0)</f>
        <v>0</v>
      </c>
      <c r="AH227" s="93">
        <f>IF(AQ227="0",BJ227,0)</f>
        <v>0</v>
      </c>
      <c r="AI227" s="71"/>
      <c r="AJ227" s="93">
        <f>IF(AN227=0,H227,0)</f>
        <v>0</v>
      </c>
      <c r="AK227" s="93">
        <f>IF(AN227=12,H227,0)</f>
        <v>0</v>
      </c>
      <c r="AL227" s="93">
        <f>IF(AN227=21,H227,0)</f>
        <v>0</v>
      </c>
      <c r="AN227" s="93">
        <v>21</v>
      </c>
      <c r="AO227" s="93">
        <f>G227*0.248584906</f>
        <v>0</v>
      </c>
      <c r="AP227" s="93">
        <f>G227*(1-0.248584906)</f>
        <v>0</v>
      </c>
      <c r="AQ227" s="95" t="s">
        <v>160</v>
      </c>
      <c r="AV227" s="93">
        <f>AW227+AX227</f>
        <v>0</v>
      </c>
      <c r="AW227" s="93">
        <f>F227*AO227</f>
        <v>0</v>
      </c>
      <c r="AX227" s="93">
        <f>F227*AP227</f>
        <v>0</v>
      </c>
      <c r="AY227" s="95" t="s">
        <v>434</v>
      </c>
      <c r="AZ227" s="95" t="s">
        <v>395</v>
      </c>
      <c r="BA227" s="71" t="s">
        <v>123</v>
      </c>
      <c r="BC227" s="93">
        <f>AW227+AX227</f>
        <v>0</v>
      </c>
      <c r="BD227" s="93">
        <f>G227/(100-BE227)*100</f>
        <v>0</v>
      </c>
      <c r="BE227" s="93">
        <v>0</v>
      </c>
      <c r="BF227" s="93">
        <f>J227</f>
        <v>0.02</v>
      </c>
      <c r="BH227" s="93">
        <f>F227*AO227</f>
        <v>0</v>
      </c>
      <c r="BI227" s="93">
        <f>F227*AP227</f>
        <v>0</v>
      </c>
      <c r="BJ227" s="93">
        <f>F227*G227</f>
        <v>0</v>
      </c>
      <c r="BK227" s="93"/>
      <c r="BL227" s="93">
        <v>784</v>
      </c>
      <c r="BW227" s="93">
        <v>21</v>
      </c>
    </row>
    <row r="228" spans="1:11" ht="40.5" customHeight="1">
      <c r="A228" s="96"/>
      <c r="C228" s="97" t="s">
        <v>442</v>
      </c>
      <c r="D228" s="97"/>
      <c r="E228" s="97"/>
      <c r="F228" s="97"/>
      <c r="G228" s="97"/>
      <c r="H228" s="97"/>
      <c r="I228" s="97"/>
      <c r="J228" s="97"/>
      <c r="K228" s="97"/>
    </row>
    <row r="229" spans="1:11" ht="15">
      <c r="A229" s="96"/>
      <c r="C229" s="98" t="s">
        <v>443</v>
      </c>
      <c r="D229" s="99"/>
      <c r="F229" s="100">
        <v>1000</v>
      </c>
      <c r="K229" s="101"/>
    </row>
    <row r="230" spans="1:75" ht="13.5" customHeight="1">
      <c r="A230" s="92" t="s">
        <v>444</v>
      </c>
      <c r="B230" s="10" t="s">
        <v>445</v>
      </c>
      <c r="C230" s="8" t="s">
        <v>446</v>
      </c>
      <c r="D230" s="8"/>
      <c r="E230" s="10" t="s">
        <v>175</v>
      </c>
      <c r="F230" s="93">
        <v>450</v>
      </c>
      <c r="G230" s="93">
        <v>0</v>
      </c>
      <c r="H230" s="93">
        <f>F230*G230</f>
        <v>0</v>
      </c>
      <c r="I230" s="93">
        <v>0</v>
      </c>
      <c r="J230" s="93">
        <f>F230*I230</f>
        <v>0</v>
      </c>
      <c r="K230" s="94" t="s">
        <v>120</v>
      </c>
      <c r="Z230" s="93">
        <f>IF(AQ230="5",BJ230,0)</f>
        <v>0</v>
      </c>
      <c r="AB230" s="93">
        <f>IF(AQ230="1",BH230,0)</f>
        <v>0</v>
      </c>
      <c r="AC230" s="93">
        <f>IF(AQ230="1",BI230,0)</f>
        <v>0</v>
      </c>
      <c r="AD230" s="93">
        <f>IF(AQ230="7",BH230,0)</f>
        <v>0</v>
      </c>
      <c r="AE230" s="93">
        <f>IF(AQ230="7",BI230,0)</f>
        <v>0</v>
      </c>
      <c r="AF230" s="93">
        <f>IF(AQ230="2",BH230,0)</f>
        <v>0</v>
      </c>
      <c r="AG230" s="93">
        <f>IF(AQ230="2",BI230,0)</f>
        <v>0</v>
      </c>
      <c r="AH230" s="93">
        <f>IF(AQ230="0",BJ230,0)</f>
        <v>0</v>
      </c>
      <c r="AI230" s="71"/>
      <c r="AJ230" s="93">
        <f>IF(AN230=0,H230,0)</f>
        <v>0</v>
      </c>
      <c r="AK230" s="93">
        <f>IF(AN230=12,H230,0)</f>
        <v>0</v>
      </c>
      <c r="AL230" s="93">
        <f>IF(AN230=21,H230,0)</f>
        <v>0</v>
      </c>
      <c r="AN230" s="93">
        <v>21</v>
      </c>
      <c r="AO230" s="93">
        <f>G230*0.079432624</f>
        <v>0</v>
      </c>
      <c r="AP230" s="93">
        <f>G230*(1-0.079432624)</f>
        <v>0</v>
      </c>
      <c r="AQ230" s="95" t="s">
        <v>160</v>
      </c>
      <c r="AV230" s="93">
        <f>AW230+AX230</f>
        <v>0</v>
      </c>
      <c r="AW230" s="93">
        <f>F230*AO230</f>
        <v>0</v>
      </c>
      <c r="AX230" s="93">
        <f>F230*AP230</f>
        <v>0</v>
      </c>
      <c r="AY230" s="95" t="s">
        <v>434</v>
      </c>
      <c r="AZ230" s="95" t="s">
        <v>395</v>
      </c>
      <c r="BA230" s="71" t="s">
        <v>123</v>
      </c>
      <c r="BC230" s="93">
        <f>AW230+AX230</f>
        <v>0</v>
      </c>
      <c r="BD230" s="93">
        <f>G230/(100-BE230)*100</f>
        <v>0</v>
      </c>
      <c r="BE230" s="93">
        <v>0</v>
      </c>
      <c r="BF230" s="93">
        <f>J230</f>
        <v>0</v>
      </c>
      <c r="BH230" s="93">
        <f>F230*AO230</f>
        <v>0</v>
      </c>
      <c r="BI230" s="93">
        <f>F230*AP230</f>
        <v>0</v>
      </c>
      <c r="BJ230" s="93">
        <f>F230*G230</f>
        <v>0</v>
      </c>
      <c r="BK230" s="93"/>
      <c r="BL230" s="93">
        <v>784</v>
      </c>
      <c r="BW230" s="93">
        <v>21</v>
      </c>
    </row>
    <row r="231" spans="1:11" ht="27" customHeight="1">
      <c r="A231" s="96"/>
      <c r="C231" s="97" t="s">
        <v>447</v>
      </c>
      <c r="D231" s="97"/>
      <c r="E231" s="97"/>
      <c r="F231" s="97"/>
      <c r="G231" s="97"/>
      <c r="H231" s="97"/>
      <c r="I231" s="97"/>
      <c r="J231" s="97"/>
      <c r="K231" s="97"/>
    </row>
    <row r="232" spans="1:11" ht="15">
      <c r="A232" s="96"/>
      <c r="C232" s="98" t="s">
        <v>448</v>
      </c>
      <c r="D232" s="99"/>
      <c r="F232" s="100">
        <v>450</v>
      </c>
      <c r="K232" s="101"/>
    </row>
    <row r="233" spans="1:75" ht="13.5" customHeight="1">
      <c r="A233" s="92" t="s">
        <v>449</v>
      </c>
      <c r="B233" s="10" t="s">
        <v>450</v>
      </c>
      <c r="C233" s="8" t="s">
        <v>451</v>
      </c>
      <c r="D233" s="8"/>
      <c r="E233" s="10" t="s">
        <v>135</v>
      </c>
      <c r="F233" s="93">
        <v>104.0175</v>
      </c>
      <c r="G233" s="93">
        <v>0</v>
      </c>
      <c r="H233" s="93">
        <f>F233*G233</f>
        <v>0</v>
      </c>
      <c r="I233" s="93">
        <v>0.00064</v>
      </c>
      <c r="J233" s="93">
        <f>F233*I233</f>
        <v>0.0665712</v>
      </c>
      <c r="K233" s="94" t="s">
        <v>120</v>
      </c>
      <c r="Z233" s="93">
        <f>IF(AQ233="5",BJ233,0)</f>
        <v>0</v>
      </c>
      <c r="AB233" s="93">
        <f>IF(AQ233="1",BH233,0)</f>
        <v>0</v>
      </c>
      <c r="AC233" s="93">
        <f>IF(AQ233="1",BI233,0)</f>
        <v>0</v>
      </c>
      <c r="AD233" s="93">
        <f>IF(AQ233="7",BH233,0)</f>
        <v>0</v>
      </c>
      <c r="AE233" s="93">
        <f>IF(AQ233="7",BI233,0)</f>
        <v>0</v>
      </c>
      <c r="AF233" s="93">
        <f>IF(AQ233="2",BH233,0)</f>
        <v>0</v>
      </c>
      <c r="AG233" s="93">
        <f>IF(AQ233="2",BI233,0)</f>
        <v>0</v>
      </c>
      <c r="AH233" s="93">
        <f>IF(AQ233="0",BJ233,0)</f>
        <v>0</v>
      </c>
      <c r="AI233" s="71"/>
      <c r="AJ233" s="93">
        <f>IF(AN233=0,H233,0)</f>
        <v>0</v>
      </c>
      <c r="AK233" s="93">
        <f>IF(AN233=12,H233,0)</f>
        <v>0</v>
      </c>
      <c r="AL233" s="93">
        <f>IF(AN233=21,H233,0)</f>
        <v>0</v>
      </c>
      <c r="AN233" s="93">
        <v>21</v>
      </c>
      <c r="AO233" s="93">
        <f>G233*0.264587865</f>
        <v>0</v>
      </c>
      <c r="AP233" s="93">
        <f>G233*(1-0.264587865)</f>
        <v>0</v>
      </c>
      <c r="AQ233" s="95" t="s">
        <v>160</v>
      </c>
      <c r="AV233" s="93">
        <f>AW233+AX233</f>
        <v>0</v>
      </c>
      <c r="AW233" s="93">
        <f>F233*AO233</f>
        <v>0</v>
      </c>
      <c r="AX233" s="93">
        <f>F233*AP233</f>
        <v>0</v>
      </c>
      <c r="AY233" s="95" t="s">
        <v>434</v>
      </c>
      <c r="AZ233" s="95" t="s">
        <v>395</v>
      </c>
      <c r="BA233" s="71" t="s">
        <v>123</v>
      </c>
      <c r="BC233" s="93">
        <f>AW233+AX233</f>
        <v>0</v>
      </c>
      <c r="BD233" s="93">
        <f>G233/(100-BE233)*100</f>
        <v>0</v>
      </c>
      <c r="BE233" s="93">
        <v>0</v>
      </c>
      <c r="BF233" s="93">
        <f>J233</f>
        <v>0.0665712</v>
      </c>
      <c r="BH233" s="93">
        <f>F233*AO233</f>
        <v>0</v>
      </c>
      <c r="BI233" s="93">
        <f>F233*AP233</f>
        <v>0</v>
      </c>
      <c r="BJ233" s="93">
        <f>F233*G233</f>
        <v>0</v>
      </c>
      <c r="BK233" s="93"/>
      <c r="BL233" s="93">
        <v>784</v>
      </c>
      <c r="BW233" s="93">
        <v>21</v>
      </c>
    </row>
    <row r="234" spans="1:11" ht="13.5" customHeight="1">
      <c r="A234" s="96"/>
      <c r="C234" s="97" t="s">
        <v>452</v>
      </c>
      <c r="D234" s="97"/>
      <c r="E234" s="97"/>
      <c r="F234" s="97"/>
      <c r="G234" s="97"/>
      <c r="H234" s="97"/>
      <c r="I234" s="97"/>
      <c r="J234" s="97"/>
      <c r="K234" s="97"/>
    </row>
    <row r="235" spans="1:11" ht="15">
      <c r="A235" s="96"/>
      <c r="C235" s="98" t="s">
        <v>453</v>
      </c>
      <c r="D235" s="99"/>
      <c r="F235" s="100">
        <v>104.0175</v>
      </c>
      <c r="K235" s="101"/>
    </row>
    <row r="236" spans="1:47" ht="15" customHeight="1">
      <c r="A236" s="87"/>
      <c r="B236" s="88" t="s">
        <v>454</v>
      </c>
      <c r="C236" s="89" t="s">
        <v>455</v>
      </c>
      <c r="D236" s="89"/>
      <c r="E236" s="90" t="s">
        <v>79</v>
      </c>
      <c r="F236" s="90" t="s">
        <v>79</v>
      </c>
      <c r="G236" s="90" t="s">
        <v>79</v>
      </c>
      <c r="H236" s="61">
        <f>SUM(H237:H245)</f>
        <v>0</v>
      </c>
      <c r="I236" s="71"/>
      <c r="J236" s="61">
        <f>SUM(J237:J245)</f>
        <v>0.2220955</v>
      </c>
      <c r="K236" s="91"/>
      <c r="AI236" s="71"/>
      <c r="AS236" s="61">
        <f>SUM(AJ237:AJ245)</f>
        <v>0</v>
      </c>
      <c r="AT236" s="61">
        <f>SUM(AK237:AK245)</f>
        <v>0</v>
      </c>
      <c r="AU236" s="61">
        <f>SUM(AL237:AL245)</f>
        <v>0</v>
      </c>
    </row>
    <row r="237" spans="1:75" ht="13.5" customHeight="1">
      <c r="A237" s="92" t="s">
        <v>456</v>
      </c>
      <c r="B237" s="10" t="s">
        <v>457</v>
      </c>
      <c r="C237" s="8" t="s">
        <v>458</v>
      </c>
      <c r="D237" s="8"/>
      <c r="E237" s="10" t="s">
        <v>135</v>
      </c>
      <c r="F237" s="93">
        <v>183.55</v>
      </c>
      <c r="G237" s="93">
        <v>0</v>
      </c>
      <c r="H237" s="93">
        <f>F237*G237</f>
        <v>0</v>
      </c>
      <c r="I237" s="93">
        <v>0.00121</v>
      </c>
      <c r="J237" s="93">
        <f>F237*I237</f>
        <v>0.2220955</v>
      </c>
      <c r="K237" s="94" t="s">
        <v>120</v>
      </c>
      <c r="Z237" s="93">
        <f>IF(AQ237="5",BJ237,0)</f>
        <v>0</v>
      </c>
      <c r="AB237" s="93">
        <f>IF(AQ237="1",BH237,0)</f>
        <v>0</v>
      </c>
      <c r="AC237" s="93">
        <f>IF(AQ237="1",BI237,0)</f>
        <v>0</v>
      </c>
      <c r="AD237" s="93">
        <f>IF(AQ237="7",BH237,0)</f>
        <v>0</v>
      </c>
      <c r="AE237" s="93">
        <f>IF(AQ237="7",BI237,0)</f>
        <v>0</v>
      </c>
      <c r="AF237" s="93">
        <f>IF(AQ237="2",BH237,0)</f>
        <v>0</v>
      </c>
      <c r="AG237" s="93">
        <f>IF(AQ237="2",BI237,0)</f>
        <v>0</v>
      </c>
      <c r="AH237" s="93">
        <f>IF(AQ237="0",BJ237,0)</f>
        <v>0</v>
      </c>
      <c r="AI237" s="71"/>
      <c r="AJ237" s="93">
        <f>IF(AN237=0,H237,0)</f>
        <v>0</v>
      </c>
      <c r="AK237" s="93">
        <f>IF(AN237=12,H237,0)</f>
        <v>0</v>
      </c>
      <c r="AL237" s="93">
        <f>IF(AN237=21,H237,0)</f>
        <v>0</v>
      </c>
      <c r="AN237" s="93">
        <v>21</v>
      </c>
      <c r="AO237" s="93">
        <f>G237*0.368637796</f>
        <v>0</v>
      </c>
      <c r="AP237" s="93">
        <f>G237*(1-0.368637796)</f>
        <v>0</v>
      </c>
      <c r="AQ237" s="95" t="s">
        <v>116</v>
      </c>
      <c r="AV237" s="93">
        <f>AW237+AX237</f>
        <v>0</v>
      </c>
      <c r="AW237" s="93">
        <f>F237*AO237</f>
        <v>0</v>
      </c>
      <c r="AX237" s="93">
        <f>F237*AP237</f>
        <v>0</v>
      </c>
      <c r="AY237" s="95" t="s">
        <v>459</v>
      </c>
      <c r="AZ237" s="95" t="s">
        <v>460</v>
      </c>
      <c r="BA237" s="71" t="s">
        <v>123</v>
      </c>
      <c r="BC237" s="93">
        <f>AW237+AX237</f>
        <v>0</v>
      </c>
      <c r="BD237" s="93">
        <f>G237/(100-BE237)*100</f>
        <v>0</v>
      </c>
      <c r="BE237" s="93">
        <v>0</v>
      </c>
      <c r="BF237" s="93">
        <f>J237</f>
        <v>0.2220955</v>
      </c>
      <c r="BH237" s="93">
        <f>F237*AO237</f>
        <v>0</v>
      </c>
      <c r="BI237" s="93">
        <f>F237*AP237</f>
        <v>0</v>
      </c>
      <c r="BJ237" s="93">
        <f>F237*G237</f>
        <v>0</v>
      </c>
      <c r="BK237" s="93"/>
      <c r="BL237" s="93">
        <v>94</v>
      </c>
      <c r="BW237" s="93">
        <v>21</v>
      </c>
    </row>
    <row r="238" spans="1:11" ht="15">
      <c r="A238" s="96"/>
      <c r="C238" s="98" t="s">
        <v>461</v>
      </c>
      <c r="D238" s="99"/>
      <c r="F238" s="100">
        <v>183.55</v>
      </c>
      <c r="K238" s="101"/>
    </row>
    <row r="239" spans="1:75" ht="13.5" customHeight="1">
      <c r="A239" s="92" t="s">
        <v>462</v>
      </c>
      <c r="B239" s="10" t="s">
        <v>463</v>
      </c>
      <c r="C239" s="8" t="s">
        <v>464</v>
      </c>
      <c r="D239" s="8"/>
      <c r="E239" s="10" t="s">
        <v>465</v>
      </c>
      <c r="F239" s="93">
        <v>15</v>
      </c>
      <c r="G239" s="93">
        <v>0</v>
      </c>
      <c r="H239" s="93">
        <f>F239*G239</f>
        <v>0</v>
      </c>
      <c r="I239" s="93">
        <v>0</v>
      </c>
      <c r="J239" s="93">
        <f>F239*I239</f>
        <v>0</v>
      </c>
      <c r="K239" s="94" t="s">
        <v>120</v>
      </c>
      <c r="Z239" s="93">
        <f>IF(AQ239="5",BJ239,0)</f>
        <v>0</v>
      </c>
      <c r="AB239" s="93">
        <f>IF(AQ239="1",BH239,0)</f>
        <v>0</v>
      </c>
      <c r="AC239" s="93">
        <f>IF(AQ239="1",BI239,0)</f>
        <v>0</v>
      </c>
      <c r="AD239" s="93">
        <f>IF(AQ239="7",BH239,0)</f>
        <v>0</v>
      </c>
      <c r="AE239" s="93">
        <f>IF(AQ239="7",BI239,0)</f>
        <v>0</v>
      </c>
      <c r="AF239" s="93">
        <f>IF(AQ239="2",BH239,0)</f>
        <v>0</v>
      </c>
      <c r="AG239" s="93">
        <f>IF(AQ239="2",BI239,0)</f>
        <v>0</v>
      </c>
      <c r="AH239" s="93">
        <f>IF(AQ239="0",BJ239,0)</f>
        <v>0</v>
      </c>
      <c r="AI239" s="71"/>
      <c r="AJ239" s="93">
        <f>IF(AN239=0,H239,0)</f>
        <v>0</v>
      </c>
      <c r="AK239" s="93">
        <f>IF(AN239=12,H239,0)</f>
        <v>0</v>
      </c>
      <c r="AL239" s="93">
        <f>IF(AN239=21,H239,0)</f>
        <v>0</v>
      </c>
      <c r="AN239" s="93">
        <v>21</v>
      </c>
      <c r="AO239" s="93">
        <f>G239*0</f>
        <v>0</v>
      </c>
      <c r="AP239" s="93">
        <f>G239*(1-0)</f>
        <v>0</v>
      </c>
      <c r="AQ239" s="95" t="s">
        <v>116</v>
      </c>
      <c r="AV239" s="93">
        <f>AW239+AX239</f>
        <v>0</v>
      </c>
      <c r="AW239" s="93">
        <f>F239*AO239</f>
        <v>0</v>
      </c>
      <c r="AX239" s="93">
        <f>F239*AP239</f>
        <v>0</v>
      </c>
      <c r="AY239" s="95" t="s">
        <v>459</v>
      </c>
      <c r="AZ239" s="95" t="s">
        <v>460</v>
      </c>
      <c r="BA239" s="71" t="s">
        <v>123</v>
      </c>
      <c r="BC239" s="93">
        <f>AW239+AX239</f>
        <v>0</v>
      </c>
      <c r="BD239" s="93">
        <f>G239/(100-BE239)*100</f>
        <v>0</v>
      </c>
      <c r="BE239" s="93">
        <v>0</v>
      </c>
      <c r="BF239" s="93">
        <f>J239</f>
        <v>0</v>
      </c>
      <c r="BH239" s="93">
        <f>F239*AO239</f>
        <v>0</v>
      </c>
      <c r="BI239" s="93">
        <f>F239*AP239</f>
        <v>0</v>
      </c>
      <c r="BJ239" s="93">
        <f>F239*G239</f>
        <v>0</v>
      </c>
      <c r="BK239" s="93"/>
      <c r="BL239" s="93">
        <v>94</v>
      </c>
      <c r="BW239" s="93">
        <v>21</v>
      </c>
    </row>
    <row r="240" spans="1:11" ht="13.5" customHeight="1">
      <c r="A240" s="96"/>
      <c r="C240" s="97" t="s">
        <v>466</v>
      </c>
      <c r="D240" s="97"/>
      <c r="E240" s="97"/>
      <c r="F240" s="97"/>
      <c r="G240" s="97"/>
      <c r="H240" s="97"/>
      <c r="I240" s="97"/>
      <c r="J240" s="97"/>
      <c r="K240" s="97"/>
    </row>
    <row r="241" spans="1:11" ht="15">
      <c r="A241" s="96"/>
      <c r="C241" s="98" t="s">
        <v>467</v>
      </c>
      <c r="D241" s="99"/>
      <c r="F241" s="100">
        <v>15</v>
      </c>
      <c r="K241" s="101"/>
    </row>
    <row r="242" spans="1:75" ht="13.5" customHeight="1">
      <c r="A242" s="92" t="s">
        <v>468</v>
      </c>
      <c r="B242" s="10" t="s">
        <v>469</v>
      </c>
      <c r="C242" s="8" t="s">
        <v>470</v>
      </c>
      <c r="D242" s="8"/>
      <c r="E242" s="10" t="s">
        <v>471</v>
      </c>
      <c r="F242" s="93">
        <v>90</v>
      </c>
      <c r="G242" s="93">
        <v>0</v>
      </c>
      <c r="H242" s="93">
        <f>F242*G242</f>
        <v>0</v>
      </c>
      <c r="I242" s="93">
        <v>0</v>
      </c>
      <c r="J242" s="93">
        <f>F242*I242</f>
        <v>0</v>
      </c>
      <c r="K242" s="94" t="s">
        <v>120</v>
      </c>
      <c r="Z242" s="93">
        <f>IF(AQ242="5",BJ242,0)</f>
        <v>0</v>
      </c>
      <c r="AB242" s="93">
        <f>IF(AQ242="1",BH242,0)</f>
        <v>0</v>
      </c>
      <c r="AC242" s="93">
        <f>IF(AQ242="1",BI242,0)</f>
        <v>0</v>
      </c>
      <c r="AD242" s="93">
        <f>IF(AQ242="7",BH242,0)</f>
        <v>0</v>
      </c>
      <c r="AE242" s="93">
        <f>IF(AQ242="7",BI242,0)</f>
        <v>0</v>
      </c>
      <c r="AF242" s="93">
        <f>IF(AQ242="2",BH242,0)</f>
        <v>0</v>
      </c>
      <c r="AG242" s="93">
        <f>IF(AQ242="2",BI242,0)</f>
        <v>0</v>
      </c>
      <c r="AH242" s="93">
        <f>IF(AQ242="0",BJ242,0)</f>
        <v>0</v>
      </c>
      <c r="AI242" s="71"/>
      <c r="AJ242" s="93">
        <f>IF(AN242=0,H242,0)</f>
        <v>0</v>
      </c>
      <c r="AK242" s="93">
        <f>IF(AN242=12,H242,0)</f>
        <v>0</v>
      </c>
      <c r="AL242" s="93">
        <f>IF(AN242=21,H242,0)</f>
        <v>0</v>
      </c>
      <c r="AN242" s="93">
        <v>21</v>
      </c>
      <c r="AO242" s="93">
        <f>G242*0</f>
        <v>0</v>
      </c>
      <c r="AP242" s="93">
        <f>G242*(1-0)</f>
        <v>0</v>
      </c>
      <c r="AQ242" s="95" t="s">
        <v>116</v>
      </c>
      <c r="AV242" s="93">
        <f>AW242+AX242</f>
        <v>0</v>
      </c>
      <c r="AW242" s="93">
        <f>F242*AO242</f>
        <v>0</v>
      </c>
      <c r="AX242" s="93">
        <f>F242*AP242</f>
        <v>0</v>
      </c>
      <c r="AY242" s="95" t="s">
        <v>459</v>
      </c>
      <c r="AZ242" s="95" t="s">
        <v>460</v>
      </c>
      <c r="BA242" s="71" t="s">
        <v>123</v>
      </c>
      <c r="BC242" s="93">
        <f>AW242+AX242</f>
        <v>0</v>
      </c>
      <c r="BD242" s="93">
        <f>G242/(100-BE242)*100</f>
        <v>0</v>
      </c>
      <c r="BE242" s="93">
        <v>0</v>
      </c>
      <c r="BF242" s="93">
        <f>J242</f>
        <v>0</v>
      </c>
      <c r="BH242" s="93">
        <f>F242*AO242</f>
        <v>0</v>
      </c>
      <c r="BI242" s="93">
        <f>F242*AP242</f>
        <v>0</v>
      </c>
      <c r="BJ242" s="93">
        <f>F242*G242</f>
        <v>0</v>
      </c>
      <c r="BK242" s="93"/>
      <c r="BL242" s="93">
        <v>94</v>
      </c>
      <c r="BW242" s="93">
        <v>21</v>
      </c>
    </row>
    <row r="243" spans="1:11" ht="13.5" customHeight="1">
      <c r="A243" s="96"/>
      <c r="C243" s="97" t="s">
        <v>466</v>
      </c>
      <c r="D243" s="97"/>
      <c r="E243" s="97"/>
      <c r="F243" s="97"/>
      <c r="G243" s="97"/>
      <c r="H243" s="97"/>
      <c r="I243" s="97"/>
      <c r="J243" s="97"/>
      <c r="K243" s="97"/>
    </row>
    <row r="244" spans="1:11" ht="15">
      <c r="A244" s="96"/>
      <c r="C244" s="98" t="s">
        <v>472</v>
      </c>
      <c r="D244" s="99"/>
      <c r="F244" s="100">
        <v>90</v>
      </c>
      <c r="K244" s="101"/>
    </row>
    <row r="245" spans="1:75" ht="13.5" customHeight="1">
      <c r="A245" s="92" t="s">
        <v>473</v>
      </c>
      <c r="B245" s="10" t="s">
        <v>474</v>
      </c>
      <c r="C245" s="8" t="s">
        <v>475</v>
      </c>
      <c r="D245" s="8"/>
      <c r="E245" s="10" t="s">
        <v>465</v>
      </c>
      <c r="F245" s="93">
        <v>15</v>
      </c>
      <c r="G245" s="93">
        <v>0</v>
      </c>
      <c r="H245" s="93">
        <f>F245*G245</f>
        <v>0</v>
      </c>
      <c r="I245" s="93">
        <v>0</v>
      </c>
      <c r="J245" s="93">
        <f>F245*I245</f>
        <v>0</v>
      </c>
      <c r="K245" s="94" t="s">
        <v>120</v>
      </c>
      <c r="Z245" s="93">
        <f>IF(AQ245="5",BJ245,0)</f>
        <v>0</v>
      </c>
      <c r="AB245" s="93">
        <f>IF(AQ245="1",BH245,0)</f>
        <v>0</v>
      </c>
      <c r="AC245" s="93">
        <f>IF(AQ245="1",BI245,0)</f>
        <v>0</v>
      </c>
      <c r="AD245" s="93">
        <f>IF(AQ245="7",BH245,0)</f>
        <v>0</v>
      </c>
      <c r="AE245" s="93">
        <f>IF(AQ245="7",BI245,0)</f>
        <v>0</v>
      </c>
      <c r="AF245" s="93">
        <f>IF(AQ245="2",BH245,0)</f>
        <v>0</v>
      </c>
      <c r="AG245" s="93">
        <f>IF(AQ245="2",BI245,0)</f>
        <v>0</v>
      </c>
      <c r="AH245" s="93">
        <f>IF(AQ245="0",BJ245,0)</f>
        <v>0</v>
      </c>
      <c r="AI245" s="71"/>
      <c r="AJ245" s="93">
        <f>IF(AN245=0,H245,0)</f>
        <v>0</v>
      </c>
      <c r="AK245" s="93">
        <f>IF(AN245=12,H245,0)</f>
        <v>0</v>
      </c>
      <c r="AL245" s="93">
        <f>IF(AN245=21,H245,0)</f>
        <v>0</v>
      </c>
      <c r="AN245" s="93">
        <v>21</v>
      </c>
      <c r="AO245" s="93">
        <f>G245*0</f>
        <v>0</v>
      </c>
      <c r="AP245" s="93">
        <f>G245*(1-0)</f>
        <v>0</v>
      </c>
      <c r="AQ245" s="95" t="s">
        <v>116</v>
      </c>
      <c r="AV245" s="93">
        <f>AW245+AX245</f>
        <v>0</v>
      </c>
      <c r="AW245" s="93">
        <f>F245*AO245</f>
        <v>0</v>
      </c>
      <c r="AX245" s="93">
        <f>F245*AP245</f>
        <v>0</v>
      </c>
      <c r="AY245" s="95" t="s">
        <v>459</v>
      </c>
      <c r="AZ245" s="95" t="s">
        <v>460</v>
      </c>
      <c r="BA245" s="71" t="s">
        <v>123</v>
      </c>
      <c r="BC245" s="93">
        <f>AW245+AX245</f>
        <v>0</v>
      </c>
      <c r="BD245" s="93">
        <f>G245/(100-BE245)*100</f>
        <v>0</v>
      </c>
      <c r="BE245" s="93">
        <v>0</v>
      </c>
      <c r="BF245" s="93">
        <f>J245</f>
        <v>0</v>
      </c>
      <c r="BH245" s="93">
        <f>F245*AO245</f>
        <v>0</v>
      </c>
      <c r="BI245" s="93">
        <f>F245*AP245</f>
        <v>0</v>
      </c>
      <c r="BJ245" s="93">
        <f>F245*G245</f>
        <v>0</v>
      </c>
      <c r="BK245" s="93"/>
      <c r="BL245" s="93">
        <v>94</v>
      </c>
      <c r="BW245" s="93">
        <v>21</v>
      </c>
    </row>
    <row r="246" spans="1:11" ht="13.5" customHeight="1">
      <c r="A246" s="96"/>
      <c r="C246" s="97" t="s">
        <v>476</v>
      </c>
      <c r="D246" s="97"/>
      <c r="E246" s="97"/>
      <c r="F246" s="97"/>
      <c r="G246" s="97"/>
      <c r="H246" s="97"/>
      <c r="I246" s="97"/>
      <c r="J246" s="97"/>
      <c r="K246" s="97"/>
    </row>
    <row r="247" spans="1:11" ht="15">
      <c r="A247" s="96"/>
      <c r="C247" s="98" t="s">
        <v>467</v>
      </c>
      <c r="D247" s="99"/>
      <c r="F247" s="100">
        <v>15</v>
      </c>
      <c r="K247" s="101"/>
    </row>
    <row r="248" spans="1:47" ht="15" customHeight="1">
      <c r="A248" s="87"/>
      <c r="B248" s="88" t="s">
        <v>477</v>
      </c>
      <c r="C248" s="89" t="s">
        <v>478</v>
      </c>
      <c r="D248" s="89"/>
      <c r="E248" s="90" t="s">
        <v>79</v>
      </c>
      <c r="F248" s="90" t="s">
        <v>79</v>
      </c>
      <c r="G248" s="90" t="s">
        <v>79</v>
      </c>
      <c r="H248" s="61">
        <f>SUM(H249:H262)</f>
        <v>0</v>
      </c>
      <c r="I248" s="71"/>
      <c r="J248" s="61">
        <f>SUM(J249:J262)</f>
        <v>0.00149852</v>
      </c>
      <c r="K248" s="91"/>
      <c r="AI248" s="71"/>
      <c r="AS248" s="61">
        <f>SUM(AJ249:AJ262)</f>
        <v>0</v>
      </c>
      <c r="AT248" s="61">
        <f>SUM(AK249:AK262)</f>
        <v>0</v>
      </c>
      <c r="AU248" s="61">
        <f>SUM(AL249:AL262)</f>
        <v>0</v>
      </c>
    </row>
    <row r="249" spans="1:75" ht="13.5" customHeight="1">
      <c r="A249" s="92" t="s">
        <v>479</v>
      </c>
      <c r="B249" s="10" t="s">
        <v>480</v>
      </c>
      <c r="C249" s="8" t="s">
        <v>481</v>
      </c>
      <c r="D249" s="8"/>
      <c r="E249" s="10" t="s">
        <v>135</v>
      </c>
      <c r="F249" s="93">
        <v>183.555</v>
      </c>
      <c r="G249" s="93">
        <v>0</v>
      </c>
      <c r="H249" s="93">
        <f>F249*G249</f>
        <v>0</v>
      </c>
      <c r="I249" s="93">
        <v>0</v>
      </c>
      <c r="J249" s="93">
        <f>F249*I249</f>
        <v>0</v>
      </c>
      <c r="K249" s="94"/>
      <c r="Z249" s="93">
        <f>IF(AQ249="5",BJ249,0)</f>
        <v>0</v>
      </c>
      <c r="AB249" s="93">
        <f>IF(AQ249="1",BH249,0)</f>
        <v>0</v>
      </c>
      <c r="AC249" s="93">
        <f>IF(AQ249="1",BI249,0)</f>
        <v>0</v>
      </c>
      <c r="AD249" s="93">
        <f>IF(AQ249="7",BH249,0)</f>
        <v>0</v>
      </c>
      <c r="AE249" s="93">
        <f>IF(AQ249="7",BI249,0)</f>
        <v>0</v>
      </c>
      <c r="AF249" s="93">
        <f>IF(AQ249="2",BH249,0)</f>
        <v>0</v>
      </c>
      <c r="AG249" s="93">
        <f>IF(AQ249="2",BI249,0)</f>
        <v>0</v>
      </c>
      <c r="AH249" s="93">
        <f>IF(AQ249="0",BJ249,0)</f>
        <v>0</v>
      </c>
      <c r="AI249" s="71"/>
      <c r="AJ249" s="93">
        <f>IF(AN249=0,H249,0)</f>
        <v>0</v>
      </c>
      <c r="AK249" s="93">
        <f>IF(AN249=12,H249,0)</f>
        <v>0</v>
      </c>
      <c r="AL249" s="93">
        <f>IF(AN249=21,H249,0)</f>
        <v>0</v>
      </c>
      <c r="AN249" s="93">
        <v>21</v>
      </c>
      <c r="AO249" s="93">
        <f>G249*0</f>
        <v>0</v>
      </c>
      <c r="AP249" s="93">
        <f>G249*(1-0)</f>
        <v>0</v>
      </c>
      <c r="AQ249" s="95" t="s">
        <v>116</v>
      </c>
      <c r="AV249" s="93">
        <f>AW249+AX249</f>
        <v>0</v>
      </c>
      <c r="AW249" s="93">
        <f>F249*AO249</f>
        <v>0</v>
      </c>
      <c r="AX249" s="93">
        <f>F249*AP249</f>
        <v>0</v>
      </c>
      <c r="AY249" s="95" t="s">
        <v>482</v>
      </c>
      <c r="AZ249" s="95" t="s">
        <v>460</v>
      </c>
      <c r="BA249" s="71" t="s">
        <v>123</v>
      </c>
      <c r="BC249" s="93">
        <f>AW249+AX249</f>
        <v>0</v>
      </c>
      <c r="BD249" s="93">
        <f>G249/(100-BE249)*100</f>
        <v>0</v>
      </c>
      <c r="BE249" s="93">
        <v>0</v>
      </c>
      <c r="BF249" s="93">
        <f>J249</f>
        <v>0</v>
      </c>
      <c r="BH249" s="93">
        <f>F249*AO249</f>
        <v>0</v>
      </c>
      <c r="BI249" s="93">
        <f>F249*AP249</f>
        <v>0</v>
      </c>
      <c r="BJ249" s="93">
        <f>F249*G249</f>
        <v>0</v>
      </c>
      <c r="BK249" s="93"/>
      <c r="BL249" s="93">
        <v>95</v>
      </c>
      <c r="BW249" s="93">
        <v>21</v>
      </c>
    </row>
    <row r="250" spans="1:11" ht="40.5" customHeight="1">
      <c r="A250" s="96"/>
      <c r="C250" s="97" t="s">
        <v>483</v>
      </c>
      <c r="D250" s="97"/>
      <c r="E250" s="97"/>
      <c r="F250" s="97"/>
      <c r="G250" s="97"/>
      <c r="H250" s="97"/>
      <c r="I250" s="97"/>
      <c r="J250" s="97"/>
      <c r="K250" s="97"/>
    </row>
    <row r="251" spans="1:11" ht="15">
      <c r="A251" s="96"/>
      <c r="C251" s="98" t="s">
        <v>484</v>
      </c>
      <c r="D251" s="99"/>
      <c r="F251" s="100">
        <v>127.945</v>
      </c>
      <c r="K251" s="101"/>
    </row>
    <row r="252" spans="1:11" ht="15">
      <c r="A252" s="96"/>
      <c r="C252" s="98" t="s">
        <v>485</v>
      </c>
      <c r="D252" s="99"/>
      <c r="F252" s="100">
        <v>55.61</v>
      </c>
      <c r="K252" s="101"/>
    </row>
    <row r="253" spans="1:75" ht="13.5" customHeight="1">
      <c r="A253" s="92" t="s">
        <v>486</v>
      </c>
      <c r="B253" s="10" t="s">
        <v>487</v>
      </c>
      <c r="C253" s="8" t="s">
        <v>488</v>
      </c>
      <c r="D253" s="8"/>
      <c r="E253" s="10" t="s">
        <v>135</v>
      </c>
      <c r="F253" s="93">
        <v>387.53</v>
      </c>
      <c r="G253" s="93">
        <v>0</v>
      </c>
      <c r="H253" s="93">
        <f>F253*G253</f>
        <v>0</v>
      </c>
      <c r="I253" s="93">
        <v>0</v>
      </c>
      <c r="J253" s="93">
        <f>F253*I253</f>
        <v>0</v>
      </c>
      <c r="K253" s="94"/>
      <c r="Z253" s="93">
        <f>IF(AQ253="5",BJ253,0)</f>
        <v>0</v>
      </c>
      <c r="AB253" s="93">
        <f>IF(AQ253="1",BH253,0)</f>
        <v>0</v>
      </c>
      <c r="AC253" s="93">
        <f>IF(AQ253="1",BI253,0)</f>
        <v>0</v>
      </c>
      <c r="AD253" s="93">
        <f>IF(AQ253="7",BH253,0)</f>
        <v>0</v>
      </c>
      <c r="AE253" s="93">
        <f>IF(AQ253="7",BI253,0)</f>
        <v>0</v>
      </c>
      <c r="AF253" s="93">
        <f>IF(AQ253="2",BH253,0)</f>
        <v>0</v>
      </c>
      <c r="AG253" s="93">
        <f>IF(AQ253="2",BI253,0)</f>
        <v>0</v>
      </c>
      <c r="AH253" s="93">
        <f>IF(AQ253="0",BJ253,0)</f>
        <v>0</v>
      </c>
      <c r="AI253" s="71"/>
      <c r="AJ253" s="93">
        <f>IF(AN253=0,H253,0)</f>
        <v>0</v>
      </c>
      <c r="AK253" s="93">
        <f>IF(AN253=12,H253,0)</f>
        <v>0</v>
      </c>
      <c r="AL253" s="93">
        <f>IF(AN253=21,H253,0)</f>
        <v>0</v>
      </c>
      <c r="AN253" s="93">
        <v>21</v>
      </c>
      <c r="AO253" s="93">
        <f>G253*0</f>
        <v>0</v>
      </c>
      <c r="AP253" s="93">
        <f>G253*(1-0)</f>
        <v>0</v>
      </c>
      <c r="AQ253" s="95" t="s">
        <v>116</v>
      </c>
      <c r="AV253" s="93">
        <f>AW253+AX253</f>
        <v>0</v>
      </c>
      <c r="AW253" s="93">
        <f>F253*AO253</f>
        <v>0</v>
      </c>
      <c r="AX253" s="93">
        <f>F253*AP253</f>
        <v>0</v>
      </c>
      <c r="AY253" s="95" t="s">
        <v>482</v>
      </c>
      <c r="AZ253" s="95" t="s">
        <v>460</v>
      </c>
      <c r="BA253" s="71" t="s">
        <v>123</v>
      </c>
      <c r="BC253" s="93">
        <f>AW253+AX253</f>
        <v>0</v>
      </c>
      <c r="BD253" s="93">
        <f>G253/(100-BE253)*100</f>
        <v>0</v>
      </c>
      <c r="BE253" s="93">
        <v>0</v>
      </c>
      <c r="BF253" s="93">
        <f>J253</f>
        <v>0</v>
      </c>
      <c r="BH253" s="93">
        <f>F253*AO253</f>
        <v>0</v>
      </c>
      <c r="BI253" s="93">
        <f>F253*AP253</f>
        <v>0</v>
      </c>
      <c r="BJ253" s="93">
        <f>F253*G253</f>
        <v>0</v>
      </c>
      <c r="BK253" s="93"/>
      <c r="BL253" s="93">
        <v>95</v>
      </c>
      <c r="BW253" s="93">
        <v>21</v>
      </c>
    </row>
    <row r="254" spans="1:11" ht="13.5" customHeight="1">
      <c r="A254" s="96"/>
      <c r="C254" s="97" t="s">
        <v>489</v>
      </c>
      <c r="D254" s="97"/>
      <c r="E254" s="97"/>
      <c r="F254" s="97"/>
      <c r="G254" s="97"/>
      <c r="H254" s="97"/>
      <c r="I254" s="97"/>
      <c r="J254" s="97"/>
      <c r="K254" s="97"/>
    </row>
    <row r="255" spans="1:11" ht="15">
      <c r="A255" s="96"/>
      <c r="C255" s="98" t="s">
        <v>490</v>
      </c>
      <c r="D255" s="99"/>
      <c r="F255" s="100">
        <v>24</v>
      </c>
      <c r="K255" s="101"/>
    </row>
    <row r="256" spans="1:11" ht="15">
      <c r="A256" s="96"/>
      <c r="C256" s="98" t="s">
        <v>491</v>
      </c>
      <c r="D256" s="99"/>
      <c r="F256" s="100">
        <v>247.83</v>
      </c>
      <c r="K256" s="101"/>
    </row>
    <row r="257" spans="1:11" ht="15">
      <c r="A257" s="96"/>
      <c r="C257" s="98" t="s">
        <v>492</v>
      </c>
      <c r="D257" s="99"/>
      <c r="F257" s="100">
        <v>115.7</v>
      </c>
      <c r="K257" s="101"/>
    </row>
    <row r="258" spans="1:75" ht="13.5" customHeight="1">
      <c r="A258" s="92" t="s">
        <v>493</v>
      </c>
      <c r="B258" s="10" t="s">
        <v>494</v>
      </c>
      <c r="C258" s="8" t="s">
        <v>495</v>
      </c>
      <c r="D258" s="8"/>
      <c r="E258" s="10" t="s">
        <v>135</v>
      </c>
      <c r="F258" s="93">
        <v>149.852</v>
      </c>
      <c r="G258" s="93">
        <v>0</v>
      </c>
      <c r="H258" s="93">
        <f>F258*G258</f>
        <v>0</v>
      </c>
      <c r="I258" s="93">
        <v>1E-05</v>
      </c>
      <c r="J258" s="93">
        <f>F258*I258</f>
        <v>0.00149852</v>
      </c>
      <c r="K258" s="94" t="s">
        <v>120</v>
      </c>
      <c r="Z258" s="93">
        <f>IF(AQ258="5",BJ258,0)</f>
        <v>0</v>
      </c>
      <c r="AB258" s="93">
        <f>IF(AQ258="1",BH258,0)</f>
        <v>0</v>
      </c>
      <c r="AC258" s="93">
        <f>IF(AQ258="1",BI258,0)</f>
        <v>0</v>
      </c>
      <c r="AD258" s="93">
        <f>IF(AQ258="7",BH258,0)</f>
        <v>0</v>
      </c>
      <c r="AE258" s="93">
        <f>IF(AQ258="7",BI258,0)</f>
        <v>0</v>
      </c>
      <c r="AF258" s="93">
        <f>IF(AQ258="2",BH258,0)</f>
        <v>0</v>
      </c>
      <c r="AG258" s="93">
        <f>IF(AQ258="2",BI258,0)</f>
        <v>0</v>
      </c>
      <c r="AH258" s="93">
        <f>IF(AQ258="0",BJ258,0)</f>
        <v>0</v>
      </c>
      <c r="AI258" s="71"/>
      <c r="AJ258" s="93">
        <f>IF(AN258=0,H258,0)</f>
        <v>0</v>
      </c>
      <c r="AK258" s="93">
        <f>IF(AN258=12,H258,0)</f>
        <v>0</v>
      </c>
      <c r="AL258" s="93">
        <f>IF(AN258=21,H258,0)</f>
        <v>0</v>
      </c>
      <c r="AN258" s="93">
        <v>21</v>
      </c>
      <c r="AO258" s="93">
        <f>G258*0.022293624</f>
        <v>0</v>
      </c>
      <c r="AP258" s="93">
        <f>G258*(1-0.022293624)</f>
        <v>0</v>
      </c>
      <c r="AQ258" s="95" t="s">
        <v>116</v>
      </c>
      <c r="AV258" s="93">
        <f>AW258+AX258</f>
        <v>0</v>
      </c>
      <c r="AW258" s="93">
        <f>F258*AO258</f>
        <v>0</v>
      </c>
      <c r="AX258" s="93">
        <f>F258*AP258</f>
        <v>0</v>
      </c>
      <c r="AY258" s="95" t="s">
        <v>482</v>
      </c>
      <c r="AZ258" s="95" t="s">
        <v>460</v>
      </c>
      <c r="BA258" s="71" t="s">
        <v>123</v>
      </c>
      <c r="BC258" s="93">
        <f>AW258+AX258</f>
        <v>0</v>
      </c>
      <c r="BD258" s="93">
        <f>G258/(100-BE258)*100</f>
        <v>0</v>
      </c>
      <c r="BE258" s="93">
        <v>0</v>
      </c>
      <c r="BF258" s="93">
        <f>J258</f>
        <v>0.00149852</v>
      </c>
      <c r="BH258" s="93">
        <f>F258*AO258</f>
        <v>0</v>
      </c>
      <c r="BI258" s="93">
        <f>F258*AP258</f>
        <v>0</v>
      </c>
      <c r="BJ258" s="93">
        <f>F258*G258</f>
        <v>0</v>
      </c>
      <c r="BK258" s="93"/>
      <c r="BL258" s="93">
        <v>95</v>
      </c>
      <c r="BW258" s="93">
        <v>21</v>
      </c>
    </row>
    <row r="259" spans="1:11" ht="15">
      <c r="A259" s="96"/>
      <c r="C259" s="98" t="s">
        <v>496</v>
      </c>
      <c r="D259" s="99"/>
      <c r="F259" s="100">
        <v>73.8326</v>
      </c>
      <c r="K259" s="101"/>
    </row>
    <row r="260" spans="1:11" ht="15">
      <c r="A260" s="96"/>
      <c r="C260" s="98" t="s">
        <v>497</v>
      </c>
      <c r="D260" s="99"/>
      <c r="F260" s="100">
        <v>48.3469</v>
      </c>
      <c r="K260" s="101"/>
    </row>
    <row r="261" spans="1:11" ht="15">
      <c r="A261" s="96"/>
      <c r="C261" s="98" t="s">
        <v>498</v>
      </c>
      <c r="D261" s="99"/>
      <c r="F261" s="100">
        <v>27.6725</v>
      </c>
      <c r="K261" s="101"/>
    </row>
    <row r="262" spans="1:75" ht="13.5" customHeight="1">
      <c r="A262" s="92" t="s">
        <v>147</v>
      </c>
      <c r="B262" s="10" t="s">
        <v>499</v>
      </c>
      <c r="C262" s="8" t="s">
        <v>500</v>
      </c>
      <c r="D262" s="8"/>
      <c r="E262" s="10" t="s">
        <v>135</v>
      </c>
      <c r="F262" s="93">
        <v>571.75</v>
      </c>
      <c r="G262" s="93">
        <v>0</v>
      </c>
      <c r="H262" s="93">
        <f>F262*G262</f>
        <v>0</v>
      </c>
      <c r="I262" s="93">
        <v>0</v>
      </c>
      <c r="J262" s="93">
        <f>F262*I262</f>
        <v>0</v>
      </c>
      <c r="K262" s="94" t="s">
        <v>120</v>
      </c>
      <c r="Z262" s="93">
        <f>IF(AQ262="5",BJ262,0)</f>
        <v>0</v>
      </c>
      <c r="AB262" s="93">
        <f>IF(AQ262="1",BH262,0)</f>
        <v>0</v>
      </c>
      <c r="AC262" s="93">
        <f>IF(AQ262="1",BI262,0)</f>
        <v>0</v>
      </c>
      <c r="AD262" s="93">
        <f>IF(AQ262="7",BH262,0)</f>
        <v>0</v>
      </c>
      <c r="AE262" s="93">
        <f>IF(AQ262="7",BI262,0)</f>
        <v>0</v>
      </c>
      <c r="AF262" s="93">
        <f>IF(AQ262="2",BH262,0)</f>
        <v>0</v>
      </c>
      <c r="AG262" s="93">
        <f>IF(AQ262="2",BI262,0)</f>
        <v>0</v>
      </c>
      <c r="AH262" s="93">
        <f>IF(AQ262="0",BJ262,0)</f>
        <v>0</v>
      </c>
      <c r="AI262" s="71"/>
      <c r="AJ262" s="93">
        <f>IF(AN262=0,H262,0)</f>
        <v>0</v>
      </c>
      <c r="AK262" s="93">
        <f>IF(AN262=12,H262,0)</f>
        <v>0</v>
      </c>
      <c r="AL262" s="93">
        <f>IF(AN262=21,H262,0)</f>
        <v>0</v>
      </c>
      <c r="AN262" s="93">
        <v>21</v>
      </c>
      <c r="AO262" s="93">
        <f>G262*0</f>
        <v>0</v>
      </c>
      <c r="AP262" s="93">
        <f>G262*(1-0)</f>
        <v>0</v>
      </c>
      <c r="AQ262" s="95" t="s">
        <v>116</v>
      </c>
      <c r="AV262" s="93">
        <f>AW262+AX262</f>
        <v>0</v>
      </c>
      <c r="AW262" s="93">
        <f>F262*AO262</f>
        <v>0</v>
      </c>
      <c r="AX262" s="93">
        <f>F262*AP262</f>
        <v>0</v>
      </c>
      <c r="AY262" s="95" t="s">
        <v>482</v>
      </c>
      <c r="AZ262" s="95" t="s">
        <v>460</v>
      </c>
      <c r="BA262" s="71" t="s">
        <v>123</v>
      </c>
      <c r="BC262" s="93">
        <f>AW262+AX262</f>
        <v>0</v>
      </c>
      <c r="BD262" s="93">
        <f>G262/(100-BE262)*100</f>
        <v>0</v>
      </c>
      <c r="BE262" s="93">
        <v>0</v>
      </c>
      <c r="BF262" s="93">
        <f>J262</f>
        <v>0</v>
      </c>
      <c r="BH262" s="93">
        <f>F262*AO262</f>
        <v>0</v>
      </c>
      <c r="BI262" s="93">
        <f>F262*AP262</f>
        <v>0</v>
      </c>
      <c r="BJ262" s="93">
        <f>F262*G262</f>
        <v>0</v>
      </c>
      <c r="BK262" s="93"/>
      <c r="BL262" s="93">
        <v>95</v>
      </c>
      <c r="BW262" s="93">
        <v>21</v>
      </c>
    </row>
    <row r="263" spans="1:11" ht="15">
      <c r="A263" s="96"/>
      <c r="C263" s="98" t="s">
        <v>501</v>
      </c>
      <c r="D263" s="99"/>
      <c r="F263" s="100">
        <v>208.22</v>
      </c>
      <c r="K263" s="101"/>
    </row>
    <row r="264" spans="1:11" ht="15">
      <c r="A264" s="96"/>
      <c r="C264" s="98" t="s">
        <v>502</v>
      </c>
      <c r="D264" s="99"/>
      <c r="F264" s="100">
        <v>174.33</v>
      </c>
      <c r="K264" s="101"/>
    </row>
    <row r="265" spans="1:11" ht="15">
      <c r="A265" s="96"/>
      <c r="C265" s="98" t="s">
        <v>503</v>
      </c>
      <c r="D265" s="99"/>
      <c r="F265" s="100">
        <v>73.5</v>
      </c>
      <c r="K265" s="101"/>
    </row>
    <row r="266" spans="1:11" ht="15">
      <c r="A266" s="96"/>
      <c r="C266" s="98" t="s">
        <v>504</v>
      </c>
      <c r="D266" s="99"/>
      <c r="F266" s="100">
        <v>115.7</v>
      </c>
      <c r="K266" s="101"/>
    </row>
    <row r="267" spans="1:47" ht="15" customHeight="1">
      <c r="A267" s="87"/>
      <c r="B267" s="88" t="s">
        <v>505</v>
      </c>
      <c r="C267" s="89" t="s">
        <v>506</v>
      </c>
      <c r="D267" s="89"/>
      <c r="E267" s="90" t="s">
        <v>79</v>
      </c>
      <c r="F267" s="90" t="s">
        <v>79</v>
      </c>
      <c r="G267" s="90" t="s">
        <v>79</v>
      </c>
      <c r="H267" s="61">
        <f>SUM(H268:H291)</f>
        <v>0</v>
      </c>
      <c r="I267" s="71"/>
      <c r="J267" s="61">
        <f>SUM(J268:J291)</f>
        <v>29.9068362</v>
      </c>
      <c r="K267" s="91"/>
      <c r="AI267" s="71"/>
      <c r="AS267" s="61">
        <f>SUM(AJ268:AJ291)</f>
        <v>0</v>
      </c>
      <c r="AT267" s="61">
        <f>SUM(AK268:AK291)</f>
        <v>0</v>
      </c>
      <c r="AU267" s="61">
        <f>SUM(AL268:AL291)</f>
        <v>0</v>
      </c>
    </row>
    <row r="268" spans="1:75" ht="13.5" customHeight="1">
      <c r="A268" s="92" t="s">
        <v>165</v>
      </c>
      <c r="B268" s="10" t="s">
        <v>507</v>
      </c>
      <c r="C268" s="8" t="s">
        <v>508</v>
      </c>
      <c r="D268" s="8"/>
      <c r="E268" s="10" t="s">
        <v>135</v>
      </c>
      <c r="F268" s="93">
        <v>90.445</v>
      </c>
      <c r="G268" s="93">
        <v>0</v>
      </c>
      <c r="H268" s="93">
        <f>F268*G268</f>
        <v>0</v>
      </c>
      <c r="I268" s="93">
        <v>0.18334</v>
      </c>
      <c r="J268" s="93">
        <f>F268*I268</f>
        <v>16.5821863</v>
      </c>
      <c r="K268" s="94" t="s">
        <v>120</v>
      </c>
      <c r="Z268" s="93">
        <f>IF(AQ268="5",BJ268,0)</f>
        <v>0</v>
      </c>
      <c r="AB268" s="93">
        <f>IF(AQ268="1",BH268,0)</f>
        <v>0</v>
      </c>
      <c r="AC268" s="93">
        <f>IF(AQ268="1",BI268,0)</f>
        <v>0</v>
      </c>
      <c r="AD268" s="93">
        <f>IF(AQ268="7",BH268,0)</f>
        <v>0</v>
      </c>
      <c r="AE268" s="93">
        <f>IF(AQ268="7",BI268,0)</f>
        <v>0</v>
      </c>
      <c r="AF268" s="93">
        <f>IF(AQ268="2",BH268,0)</f>
        <v>0</v>
      </c>
      <c r="AG268" s="93">
        <f>IF(AQ268="2",BI268,0)</f>
        <v>0</v>
      </c>
      <c r="AH268" s="93">
        <f>IF(AQ268="0",BJ268,0)</f>
        <v>0</v>
      </c>
      <c r="AI268" s="71"/>
      <c r="AJ268" s="93">
        <f>IF(AN268=0,H268,0)</f>
        <v>0</v>
      </c>
      <c r="AK268" s="93">
        <f>IF(AN268=12,H268,0)</f>
        <v>0</v>
      </c>
      <c r="AL268" s="93">
        <f>IF(AN268=21,H268,0)</f>
        <v>0</v>
      </c>
      <c r="AN268" s="93">
        <v>21</v>
      </c>
      <c r="AO268" s="93">
        <f>G268*0.04527991</f>
        <v>0</v>
      </c>
      <c r="AP268" s="93">
        <f>G268*(1-0.04527991)</f>
        <v>0</v>
      </c>
      <c r="AQ268" s="95" t="s">
        <v>116</v>
      </c>
      <c r="AV268" s="93">
        <f>AW268+AX268</f>
        <v>0</v>
      </c>
      <c r="AW268" s="93">
        <f>F268*AO268</f>
        <v>0</v>
      </c>
      <c r="AX268" s="93">
        <f>F268*AP268</f>
        <v>0</v>
      </c>
      <c r="AY268" s="95" t="s">
        <v>509</v>
      </c>
      <c r="AZ268" s="95" t="s">
        <v>460</v>
      </c>
      <c r="BA268" s="71" t="s">
        <v>123</v>
      </c>
      <c r="BC268" s="93">
        <f>AW268+AX268</f>
        <v>0</v>
      </c>
      <c r="BD268" s="93">
        <f>G268/(100-BE268)*100</f>
        <v>0</v>
      </c>
      <c r="BE268" s="93">
        <v>0</v>
      </c>
      <c r="BF268" s="93">
        <f>J268</f>
        <v>16.5821863</v>
      </c>
      <c r="BH268" s="93">
        <f>F268*AO268</f>
        <v>0</v>
      </c>
      <c r="BI268" s="93">
        <f>F268*AP268</f>
        <v>0</v>
      </c>
      <c r="BJ268" s="93">
        <f>F268*G268</f>
        <v>0</v>
      </c>
      <c r="BK268" s="93"/>
      <c r="BL268" s="93">
        <v>96</v>
      </c>
      <c r="BW268" s="93">
        <v>21</v>
      </c>
    </row>
    <row r="269" spans="1:11" ht="15">
      <c r="A269" s="96"/>
      <c r="C269" s="98" t="s">
        <v>510</v>
      </c>
      <c r="D269" s="99"/>
      <c r="F269" s="100">
        <v>11.17</v>
      </c>
      <c r="K269" s="101"/>
    </row>
    <row r="270" spans="1:11" ht="15">
      <c r="A270" s="96"/>
      <c r="C270" s="98" t="s">
        <v>155</v>
      </c>
      <c r="D270" s="99"/>
      <c r="F270" s="100">
        <v>40.8025</v>
      </c>
      <c r="K270" s="101"/>
    </row>
    <row r="271" spans="1:11" ht="15">
      <c r="A271" s="96"/>
      <c r="C271" s="98" t="s">
        <v>156</v>
      </c>
      <c r="D271" s="99"/>
      <c r="F271" s="100">
        <v>4.03</v>
      </c>
      <c r="K271" s="101"/>
    </row>
    <row r="272" spans="1:11" ht="15">
      <c r="A272" s="96"/>
      <c r="C272" s="98" t="s">
        <v>157</v>
      </c>
      <c r="D272" s="99"/>
      <c r="F272" s="100">
        <v>17.8925</v>
      </c>
      <c r="K272" s="101"/>
    </row>
    <row r="273" spans="1:11" ht="15">
      <c r="A273" s="96"/>
      <c r="C273" s="98" t="s">
        <v>158</v>
      </c>
      <c r="D273" s="99"/>
      <c r="F273" s="100">
        <v>8.725</v>
      </c>
      <c r="K273" s="101"/>
    </row>
    <row r="274" spans="1:11" ht="15">
      <c r="A274" s="96"/>
      <c r="C274" s="98" t="s">
        <v>159</v>
      </c>
      <c r="D274" s="99"/>
      <c r="F274" s="100">
        <v>7.825</v>
      </c>
      <c r="K274" s="101"/>
    </row>
    <row r="275" spans="1:75" ht="13.5" customHeight="1">
      <c r="A275" s="92" t="s">
        <v>237</v>
      </c>
      <c r="B275" s="10" t="s">
        <v>511</v>
      </c>
      <c r="C275" s="8" t="s">
        <v>512</v>
      </c>
      <c r="D275" s="8"/>
      <c r="E275" s="10" t="s">
        <v>135</v>
      </c>
      <c r="F275" s="93">
        <v>0.76</v>
      </c>
      <c r="G275" s="93">
        <v>0</v>
      </c>
      <c r="H275" s="93">
        <f>F275*G275</f>
        <v>0</v>
      </c>
      <c r="I275" s="93">
        <v>0.07719</v>
      </c>
      <c r="J275" s="93">
        <f>F275*I275</f>
        <v>0.0586644</v>
      </c>
      <c r="K275" s="94" t="s">
        <v>120</v>
      </c>
      <c r="Z275" s="93">
        <f>IF(AQ275="5",BJ275,0)</f>
        <v>0</v>
      </c>
      <c r="AB275" s="93">
        <f>IF(AQ275="1",BH275,0)</f>
        <v>0</v>
      </c>
      <c r="AC275" s="93">
        <f>IF(AQ275="1",BI275,0)</f>
        <v>0</v>
      </c>
      <c r="AD275" s="93">
        <f>IF(AQ275="7",BH275,0)</f>
        <v>0</v>
      </c>
      <c r="AE275" s="93">
        <f>IF(AQ275="7",BI275,0)</f>
        <v>0</v>
      </c>
      <c r="AF275" s="93">
        <f>IF(AQ275="2",BH275,0)</f>
        <v>0</v>
      </c>
      <c r="AG275" s="93">
        <f>IF(AQ275="2",BI275,0)</f>
        <v>0</v>
      </c>
      <c r="AH275" s="93">
        <f>IF(AQ275="0",BJ275,0)</f>
        <v>0</v>
      </c>
      <c r="AI275" s="71"/>
      <c r="AJ275" s="93">
        <f>IF(AN275=0,H275,0)</f>
        <v>0</v>
      </c>
      <c r="AK275" s="93">
        <f>IF(AN275=12,H275,0)</f>
        <v>0</v>
      </c>
      <c r="AL275" s="93">
        <f>IF(AN275=21,H275,0)</f>
        <v>0</v>
      </c>
      <c r="AN275" s="93">
        <v>21</v>
      </c>
      <c r="AO275" s="93">
        <f>G275*0.128330169</f>
        <v>0</v>
      </c>
      <c r="AP275" s="93">
        <f>G275*(1-0.128330169)</f>
        <v>0</v>
      </c>
      <c r="AQ275" s="95" t="s">
        <v>116</v>
      </c>
      <c r="AV275" s="93">
        <f>AW275+AX275</f>
        <v>0</v>
      </c>
      <c r="AW275" s="93">
        <f>F275*AO275</f>
        <v>0</v>
      </c>
      <c r="AX275" s="93">
        <f>F275*AP275</f>
        <v>0</v>
      </c>
      <c r="AY275" s="95" t="s">
        <v>509</v>
      </c>
      <c r="AZ275" s="95" t="s">
        <v>460</v>
      </c>
      <c r="BA275" s="71" t="s">
        <v>123</v>
      </c>
      <c r="BC275" s="93">
        <f>AW275+AX275</f>
        <v>0</v>
      </c>
      <c r="BD275" s="93">
        <f>G275/(100-BE275)*100</f>
        <v>0</v>
      </c>
      <c r="BE275" s="93">
        <v>0</v>
      </c>
      <c r="BF275" s="93">
        <f>J275</f>
        <v>0.0586644</v>
      </c>
      <c r="BH275" s="93">
        <f>F275*AO275</f>
        <v>0</v>
      </c>
      <c r="BI275" s="93">
        <f>F275*AP275</f>
        <v>0</v>
      </c>
      <c r="BJ275" s="93">
        <f>F275*G275</f>
        <v>0</v>
      </c>
      <c r="BK275" s="93"/>
      <c r="BL275" s="93">
        <v>96</v>
      </c>
      <c r="BW275" s="93">
        <v>21</v>
      </c>
    </row>
    <row r="276" spans="1:11" ht="15">
      <c r="A276" s="96"/>
      <c r="C276" s="98" t="s">
        <v>513</v>
      </c>
      <c r="D276" s="99"/>
      <c r="F276" s="100">
        <v>0</v>
      </c>
      <c r="K276" s="101"/>
    </row>
    <row r="277" spans="1:11" ht="15">
      <c r="A277" s="96"/>
      <c r="C277" s="98" t="s">
        <v>514</v>
      </c>
      <c r="D277" s="99"/>
      <c r="F277" s="100">
        <v>0.76</v>
      </c>
      <c r="K277" s="101"/>
    </row>
    <row r="278" spans="1:75" ht="13.5" customHeight="1">
      <c r="A278" s="92" t="s">
        <v>244</v>
      </c>
      <c r="B278" s="10" t="s">
        <v>515</v>
      </c>
      <c r="C278" s="8" t="s">
        <v>516</v>
      </c>
      <c r="D278" s="8"/>
      <c r="E278" s="10" t="s">
        <v>135</v>
      </c>
      <c r="F278" s="93">
        <v>33.925</v>
      </c>
      <c r="G278" s="93">
        <v>0</v>
      </c>
      <c r="H278" s="93">
        <f>F278*G278</f>
        <v>0</v>
      </c>
      <c r="I278" s="93">
        <v>0.063</v>
      </c>
      <c r="J278" s="93">
        <f>F278*I278</f>
        <v>2.137275</v>
      </c>
      <c r="K278" s="94" t="s">
        <v>120</v>
      </c>
      <c r="Z278" s="93">
        <f>IF(AQ278="5",BJ278,0)</f>
        <v>0</v>
      </c>
      <c r="AB278" s="93">
        <f>IF(AQ278="1",BH278,0)</f>
        <v>0</v>
      </c>
      <c r="AC278" s="93">
        <f>IF(AQ278="1",BI278,0)</f>
        <v>0</v>
      </c>
      <c r="AD278" s="93">
        <f>IF(AQ278="7",BH278,0)</f>
        <v>0</v>
      </c>
      <c r="AE278" s="93">
        <f>IF(AQ278="7",BI278,0)</f>
        <v>0</v>
      </c>
      <c r="AF278" s="93">
        <f>IF(AQ278="2",BH278,0)</f>
        <v>0</v>
      </c>
      <c r="AG278" s="93">
        <f>IF(AQ278="2",BI278,0)</f>
        <v>0</v>
      </c>
      <c r="AH278" s="93">
        <f>IF(AQ278="0",BJ278,0)</f>
        <v>0</v>
      </c>
      <c r="AI278" s="71"/>
      <c r="AJ278" s="93">
        <f>IF(AN278=0,H278,0)</f>
        <v>0</v>
      </c>
      <c r="AK278" s="93">
        <f>IF(AN278=12,H278,0)</f>
        <v>0</v>
      </c>
      <c r="AL278" s="93">
        <f>IF(AN278=21,H278,0)</f>
        <v>0</v>
      </c>
      <c r="AN278" s="93">
        <v>21</v>
      </c>
      <c r="AO278" s="93">
        <f>G278*0.095454298</f>
        <v>0</v>
      </c>
      <c r="AP278" s="93">
        <f>G278*(1-0.095454298)</f>
        <v>0</v>
      </c>
      <c r="AQ278" s="95" t="s">
        <v>116</v>
      </c>
      <c r="AV278" s="93">
        <f>AW278+AX278</f>
        <v>0</v>
      </c>
      <c r="AW278" s="93">
        <f>F278*AO278</f>
        <v>0</v>
      </c>
      <c r="AX278" s="93">
        <f>F278*AP278</f>
        <v>0</v>
      </c>
      <c r="AY278" s="95" t="s">
        <v>509</v>
      </c>
      <c r="AZ278" s="95" t="s">
        <v>460</v>
      </c>
      <c r="BA278" s="71" t="s">
        <v>123</v>
      </c>
      <c r="BC278" s="93">
        <f>AW278+AX278</f>
        <v>0</v>
      </c>
      <c r="BD278" s="93">
        <f>G278/(100-BE278)*100</f>
        <v>0</v>
      </c>
      <c r="BE278" s="93">
        <v>0</v>
      </c>
      <c r="BF278" s="93">
        <f>J278</f>
        <v>2.137275</v>
      </c>
      <c r="BH278" s="93">
        <f>F278*AO278</f>
        <v>0</v>
      </c>
      <c r="BI278" s="93">
        <f>F278*AP278</f>
        <v>0</v>
      </c>
      <c r="BJ278" s="93">
        <f>F278*G278</f>
        <v>0</v>
      </c>
      <c r="BK278" s="93"/>
      <c r="BL278" s="93">
        <v>96</v>
      </c>
      <c r="BW278" s="93">
        <v>21</v>
      </c>
    </row>
    <row r="279" spans="1:11" ht="15">
      <c r="A279" s="96"/>
      <c r="C279" s="98" t="s">
        <v>517</v>
      </c>
      <c r="D279" s="99"/>
      <c r="F279" s="100">
        <v>16.705</v>
      </c>
      <c r="K279" s="101"/>
    </row>
    <row r="280" spans="1:11" ht="15">
      <c r="A280" s="96"/>
      <c r="C280" s="98" t="s">
        <v>518</v>
      </c>
      <c r="D280" s="99"/>
      <c r="F280" s="100">
        <v>4.92</v>
      </c>
      <c r="K280" s="101"/>
    </row>
    <row r="281" spans="1:11" ht="15">
      <c r="A281" s="96"/>
      <c r="C281" s="98" t="s">
        <v>519</v>
      </c>
      <c r="D281" s="99"/>
      <c r="F281" s="100">
        <v>12.3</v>
      </c>
      <c r="K281" s="101"/>
    </row>
    <row r="282" spans="1:75" ht="13.5" customHeight="1">
      <c r="A282" s="92" t="s">
        <v>520</v>
      </c>
      <c r="B282" s="10" t="s">
        <v>521</v>
      </c>
      <c r="C282" s="8" t="s">
        <v>522</v>
      </c>
      <c r="D282" s="8"/>
      <c r="E282" s="10" t="s">
        <v>135</v>
      </c>
      <c r="F282" s="93">
        <v>97.8375</v>
      </c>
      <c r="G282" s="93">
        <v>0</v>
      </c>
      <c r="H282" s="93">
        <f>F282*G282</f>
        <v>0</v>
      </c>
      <c r="I282" s="93">
        <v>0.05492</v>
      </c>
      <c r="J282" s="93">
        <f>F282*I282</f>
        <v>5.3732355</v>
      </c>
      <c r="K282" s="94" t="s">
        <v>120</v>
      </c>
      <c r="Z282" s="93">
        <f>IF(AQ282="5",BJ282,0)</f>
        <v>0</v>
      </c>
      <c r="AB282" s="93">
        <f>IF(AQ282="1",BH282,0)</f>
        <v>0</v>
      </c>
      <c r="AC282" s="93">
        <f>IF(AQ282="1",BI282,0)</f>
        <v>0</v>
      </c>
      <c r="AD282" s="93">
        <f>IF(AQ282="7",BH282,0)</f>
        <v>0</v>
      </c>
      <c r="AE282" s="93">
        <f>IF(AQ282="7",BI282,0)</f>
        <v>0</v>
      </c>
      <c r="AF282" s="93">
        <f>IF(AQ282="2",BH282,0)</f>
        <v>0</v>
      </c>
      <c r="AG282" s="93">
        <f>IF(AQ282="2",BI282,0)</f>
        <v>0</v>
      </c>
      <c r="AH282" s="93">
        <f>IF(AQ282="0",BJ282,0)</f>
        <v>0</v>
      </c>
      <c r="AI282" s="71"/>
      <c r="AJ282" s="93">
        <f>IF(AN282=0,H282,0)</f>
        <v>0</v>
      </c>
      <c r="AK282" s="93">
        <f>IF(AN282=12,H282,0)</f>
        <v>0</v>
      </c>
      <c r="AL282" s="93">
        <f>IF(AN282=21,H282,0)</f>
        <v>0</v>
      </c>
      <c r="AN282" s="93">
        <v>21</v>
      </c>
      <c r="AO282" s="93">
        <f>G282*0.112899281</f>
        <v>0</v>
      </c>
      <c r="AP282" s="93">
        <f>G282*(1-0.112899281)</f>
        <v>0</v>
      </c>
      <c r="AQ282" s="95" t="s">
        <v>116</v>
      </c>
      <c r="AV282" s="93">
        <f>AW282+AX282</f>
        <v>0</v>
      </c>
      <c r="AW282" s="93">
        <f>F282*AO282</f>
        <v>0</v>
      </c>
      <c r="AX282" s="93">
        <f>F282*AP282</f>
        <v>0</v>
      </c>
      <c r="AY282" s="95" t="s">
        <v>509</v>
      </c>
      <c r="AZ282" s="95" t="s">
        <v>460</v>
      </c>
      <c r="BA282" s="71" t="s">
        <v>123</v>
      </c>
      <c r="BC282" s="93">
        <f>AW282+AX282</f>
        <v>0</v>
      </c>
      <c r="BD282" s="93">
        <f>G282/(100-BE282)*100</f>
        <v>0</v>
      </c>
      <c r="BE282" s="93">
        <v>0</v>
      </c>
      <c r="BF282" s="93">
        <f>J282</f>
        <v>5.3732355</v>
      </c>
      <c r="BH282" s="93">
        <f>F282*AO282</f>
        <v>0</v>
      </c>
      <c r="BI282" s="93">
        <f>F282*AP282</f>
        <v>0</v>
      </c>
      <c r="BJ282" s="93">
        <f>F282*G282</f>
        <v>0</v>
      </c>
      <c r="BK282" s="93"/>
      <c r="BL282" s="93">
        <v>96</v>
      </c>
      <c r="BW282" s="93">
        <v>21</v>
      </c>
    </row>
    <row r="283" spans="1:11" ht="15">
      <c r="A283" s="96"/>
      <c r="C283" s="98" t="s">
        <v>523</v>
      </c>
      <c r="D283" s="99"/>
      <c r="F283" s="100">
        <v>56.111</v>
      </c>
      <c r="K283" s="101"/>
    </row>
    <row r="284" spans="1:11" ht="15">
      <c r="A284" s="96"/>
      <c r="C284" s="98" t="s">
        <v>524</v>
      </c>
      <c r="D284" s="99"/>
      <c r="F284" s="100">
        <v>24.953</v>
      </c>
      <c r="K284" s="101"/>
    </row>
    <row r="285" spans="1:11" ht="15">
      <c r="A285" s="96"/>
      <c r="C285" s="98" t="s">
        <v>525</v>
      </c>
      <c r="D285" s="99"/>
      <c r="F285" s="100">
        <v>16.7735</v>
      </c>
      <c r="K285" s="101"/>
    </row>
    <row r="286" spans="1:75" ht="13.5" customHeight="1">
      <c r="A286" s="92" t="s">
        <v>526</v>
      </c>
      <c r="B286" s="10" t="s">
        <v>527</v>
      </c>
      <c r="C286" s="8" t="s">
        <v>528</v>
      </c>
      <c r="D286" s="8"/>
      <c r="E286" s="10" t="s">
        <v>119</v>
      </c>
      <c r="F286" s="93">
        <v>2.051</v>
      </c>
      <c r="G286" s="93">
        <v>0</v>
      </c>
      <c r="H286" s="93">
        <f>F286*G286</f>
        <v>0</v>
      </c>
      <c r="I286" s="93">
        <v>2.2</v>
      </c>
      <c r="J286" s="93">
        <f>F286*I286</f>
        <v>4.5122</v>
      </c>
      <c r="K286" s="94" t="s">
        <v>120</v>
      </c>
      <c r="Z286" s="93">
        <f>IF(AQ286="5",BJ286,0)</f>
        <v>0</v>
      </c>
      <c r="AB286" s="93">
        <f>IF(AQ286="1",BH286,0)</f>
        <v>0</v>
      </c>
      <c r="AC286" s="93">
        <f>IF(AQ286="1",BI286,0)</f>
        <v>0</v>
      </c>
      <c r="AD286" s="93">
        <f>IF(AQ286="7",BH286,0)</f>
        <v>0</v>
      </c>
      <c r="AE286" s="93">
        <f>IF(AQ286="7",BI286,0)</f>
        <v>0</v>
      </c>
      <c r="AF286" s="93">
        <f>IF(AQ286="2",BH286,0)</f>
        <v>0</v>
      </c>
      <c r="AG286" s="93">
        <f>IF(AQ286="2",BI286,0)</f>
        <v>0</v>
      </c>
      <c r="AH286" s="93">
        <f>IF(AQ286="0",BJ286,0)</f>
        <v>0</v>
      </c>
      <c r="AI286" s="71"/>
      <c r="AJ286" s="93">
        <f>IF(AN286=0,H286,0)</f>
        <v>0</v>
      </c>
      <c r="AK286" s="93">
        <f>IF(AN286=12,H286,0)</f>
        <v>0</v>
      </c>
      <c r="AL286" s="93">
        <f>IF(AN286=21,H286,0)</f>
        <v>0</v>
      </c>
      <c r="AN286" s="93">
        <v>21</v>
      </c>
      <c r="AO286" s="93">
        <f>G286*0</f>
        <v>0</v>
      </c>
      <c r="AP286" s="93">
        <f>G286*(1-0)</f>
        <v>0</v>
      </c>
      <c r="AQ286" s="95" t="s">
        <v>116</v>
      </c>
      <c r="AV286" s="93">
        <f>AW286+AX286</f>
        <v>0</v>
      </c>
      <c r="AW286" s="93">
        <f>F286*AO286</f>
        <v>0</v>
      </c>
      <c r="AX286" s="93">
        <f>F286*AP286</f>
        <v>0</v>
      </c>
      <c r="AY286" s="95" t="s">
        <v>509</v>
      </c>
      <c r="AZ286" s="95" t="s">
        <v>460</v>
      </c>
      <c r="BA286" s="71" t="s">
        <v>123</v>
      </c>
      <c r="BC286" s="93">
        <f>AW286+AX286</f>
        <v>0</v>
      </c>
      <c r="BD286" s="93">
        <f>G286/(100-BE286)*100</f>
        <v>0</v>
      </c>
      <c r="BE286" s="93">
        <v>0</v>
      </c>
      <c r="BF286" s="93">
        <f>J286</f>
        <v>4.5122</v>
      </c>
      <c r="BH286" s="93">
        <f>F286*AO286</f>
        <v>0</v>
      </c>
      <c r="BI286" s="93">
        <f>F286*AP286</f>
        <v>0</v>
      </c>
      <c r="BJ286" s="93">
        <f>F286*G286</f>
        <v>0</v>
      </c>
      <c r="BK286" s="93"/>
      <c r="BL286" s="93">
        <v>96</v>
      </c>
      <c r="BW286" s="93">
        <v>21</v>
      </c>
    </row>
    <row r="287" spans="1:11" ht="13.5" customHeight="1">
      <c r="A287" s="96"/>
      <c r="C287" s="97" t="s">
        <v>529</v>
      </c>
      <c r="D287" s="97"/>
      <c r="E287" s="97"/>
      <c r="F287" s="97"/>
      <c r="G287" s="97"/>
      <c r="H287" s="97"/>
      <c r="I287" s="97"/>
      <c r="J287" s="97"/>
      <c r="K287" s="97"/>
    </row>
    <row r="288" spans="1:11" ht="15">
      <c r="A288" s="96"/>
      <c r="C288" s="98" t="s">
        <v>530</v>
      </c>
      <c r="D288" s="99"/>
      <c r="F288" s="100">
        <v>2.051</v>
      </c>
      <c r="K288" s="101"/>
    </row>
    <row r="289" spans="1:75" ht="13.5" customHeight="1">
      <c r="A289" s="92" t="s">
        <v>531</v>
      </c>
      <c r="B289" s="10" t="s">
        <v>532</v>
      </c>
      <c r="C289" s="8" t="s">
        <v>533</v>
      </c>
      <c r="D289" s="8"/>
      <c r="E289" s="10" t="s">
        <v>175</v>
      </c>
      <c r="F289" s="93">
        <v>82.5</v>
      </c>
      <c r="G289" s="93">
        <v>0</v>
      </c>
      <c r="H289" s="93">
        <f>F289*G289</f>
        <v>0</v>
      </c>
      <c r="I289" s="93">
        <v>0.01507</v>
      </c>
      <c r="J289" s="93">
        <f>F289*I289</f>
        <v>1.243275</v>
      </c>
      <c r="K289" s="94" t="s">
        <v>120</v>
      </c>
      <c r="Z289" s="93">
        <f>IF(AQ289="5",BJ289,0)</f>
        <v>0</v>
      </c>
      <c r="AB289" s="93">
        <f>IF(AQ289="1",BH289,0)</f>
        <v>0</v>
      </c>
      <c r="AC289" s="93">
        <f>IF(AQ289="1",BI289,0)</f>
        <v>0</v>
      </c>
      <c r="AD289" s="93">
        <f>IF(AQ289="7",BH289,0)</f>
        <v>0</v>
      </c>
      <c r="AE289" s="93">
        <f>IF(AQ289="7",BI289,0)</f>
        <v>0</v>
      </c>
      <c r="AF289" s="93">
        <f>IF(AQ289="2",BH289,0)</f>
        <v>0</v>
      </c>
      <c r="AG289" s="93">
        <f>IF(AQ289="2",BI289,0)</f>
        <v>0</v>
      </c>
      <c r="AH289" s="93">
        <f>IF(AQ289="0",BJ289,0)</f>
        <v>0</v>
      </c>
      <c r="AI289" s="71"/>
      <c r="AJ289" s="93">
        <f>IF(AN289=0,H289,0)</f>
        <v>0</v>
      </c>
      <c r="AK289" s="93">
        <f>IF(AN289=12,H289,0)</f>
        <v>0</v>
      </c>
      <c r="AL289" s="93">
        <f>IF(AN289=21,H289,0)</f>
        <v>0</v>
      </c>
      <c r="AN289" s="93">
        <v>21</v>
      </c>
      <c r="AO289" s="93">
        <f>G289*0</f>
        <v>0</v>
      </c>
      <c r="AP289" s="93">
        <f>G289*(1-0)</f>
        <v>0</v>
      </c>
      <c r="AQ289" s="95" t="s">
        <v>116</v>
      </c>
      <c r="AV289" s="93">
        <f>AW289+AX289</f>
        <v>0</v>
      </c>
      <c r="AW289" s="93">
        <f>F289*AO289</f>
        <v>0</v>
      </c>
      <c r="AX289" s="93">
        <f>F289*AP289</f>
        <v>0</v>
      </c>
      <c r="AY289" s="95" t="s">
        <v>509</v>
      </c>
      <c r="AZ289" s="95" t="s">
        <v>460</v>
      </c>
      <c r="BA289" s="71" t="s">
        <v>123</v>
      </c>
      <c r="BC289" s="93">
        <f>AW289+AX289</f>
        <v>0</v>
      </c>
      <c r="BD289" s="93">
        <f>G289/(100-BE289)*100</f>
        <v>0</v>
      </c>
      <c r="BE289" s="93">
        <v>0</v>
      </c>
      <c r="BF289" s="93">
        <f>J289</f>
        <v>1.243275</v>
      </c>
      <c r="BH289" s="93">
        <f>F289*AO289</f>
        <v>0</v>
      </c>
      <c r="BI289" s="93">
        <f>F289*AP289</f>
        <v>0</v>
      </c>
      <c r="BJ289" s="93">
        <f>F289*G289</f>
        <v>0</v>
      </c>
      <c r="BK289" s="93"/>
      <c r="BL289" s="93">
        <v>96</v>
      </c>
      <c r="BW289" s="93">
        <v>21</v>
      </c>
    </row>
    <row r="290" spans="1:11" ht="15">
      <c r="A290" s="96"/>
      <c r="C290" s="98" t="s">
        <v>534</v>
      </c>
      <c r="D290" s="99"/>
      <c r="F290" s="100">
        <v>82.5</v>
      </c>
      <c r="K290" s="101"/>
    </row>
    <row r="291" spans="1:75" ht="13.5" customHeight="1">
      <c r="A291" s="92" t="s">
        <v>535</v>
      </c>
      <c r="B291" s="10" t="s">
        <v>536</v>
      </c>
      <c r="C291" s="8" t="s">
        <v>537</v>
      </c>
      <c r="D291" s="8"/>
      <c r="E291" s="10" t="s">
        <v>163</v>
      </c>
      <c r="F291" s="93">
        <v>5</v>
      </c>
      <c r="G291" s="93">
        <v>0</v>
      </c>
      <c r="H291" s="93">
        <f>F291*G291</f>
        <v>0</v>
      </c>
      <c r="I291" s="93">
        <v>0</v>
      </c>
      <c r="J291" s="93">
        <f>F291*I291</f>
        <v>0</v>
      </c>
      <c r="K291" s="94"/>
      <c r="Z291" s="93">
        <f>IF(AQ291="5",BJ291,0)</f>
        <v>0</v>
      </c>
      <c r="AB291" s="93">
        <f>IF(AQ291="1",BH291,0)</f>
        <v>0</v>
      </c>
      <c r="AC291" s="93">
        <f>IF(AQ291="1",BI291,0)</f>
        <v>0</v>
      </c>
      <c r="AD291" s="93">
        <f>IF(AQ291="7",BH291,0)</f>
        <v>0</v>
      </c>
      <c r="AE291" s="93">
        <f>IF(AQ291="7",BI291,0)</f>
        <v>0</v>
      </c>
      <c r="AF291" s="93">
        <f>IF(AQ291="2",BH291,0)</f>
        <v>0</v>
      </c>
      <c r="AG291" s="93">
        <f>IF(AQ291="2",BI291,0)</f>
        <v>0</v>
      </c>
      <c r="AH291" s="93">
        <f>IF(AQ291="0",BJ291,0)</f>
        <v>0</v>
      </c>
      <c r="AI291" s="71"/>
      <c r="AJ291" s="93">
        <f>IF(AN291=0,H291,0)</f>
        <v>0</v>
      </c>
      <c r="AK291" s="93">
        <f>IF(AN291=12,H291,0)</f>
        <v>0</v>
      </c>
      <c r="AL291" s="93">
        <f>IF(AN291=21,H291,0)</f>
        <v>0</v>
      </c>
      <c r="AN291" s="93">
        <v>21</v>
      </c>
      <c r="AO291" s="93">
        <f>G291*0</f>
        <v>0</v>
      </c>
      <c r="AP291" s="93">
        <f>G291*(1-0)</f>
        <v>0</v>
      </c>
      <c r="AQ291" s="95" t="s">
        <v>116</v>
      </c>
      <c r="AV291" s="93">
        <f>AW291+AX291</f>
        <v>0</v>
      </c>
      <c r="AW291" s="93">
        <f>F291*AO291</f>
        <v>0</v>
      </c>
      <c r="AX291" s="93">
        <f>F291*AP291</f>
        <v>0</v>
      </c>
      <c r="AY291" s="95" t="s">
        <v>509</v>
      </c>
      <c r="AZ291" s="95" t="s">
        <v>460</v>
      </c>
      <c r="BA291" s="71" t="s">
        <v>123</v>
      </c>
      <c r="BC291" s="93">
        <f>AW291+AX291</f>
        <v>0</v>
      </c>
      <c r="BD291" s="93">
        <f>G291/(100-BE291)*100</f>
        <v>0</v>
      </c>
      <c r="BE291" s="93">
        <v>0</v>
      </c>
      <c r="BF291" s="93">
        <f>J291</f>
        <v>0</v>
      </c>
      <c r="BH291" s="93">
        <f>F291*AO291</f>
        <v>0</v>
      </c>
      <c r="BI291" s="93">
        <f>F291*AP291</f>
        <v>0</v>
      </c>
      <c r="BJ291" s="93">
        <f>F291*G291</f>
        <v>0</v>
      </c>
      <c r="BK291" s="93"/>
      <c r="BL291" s="93">
        <v>96</v>
      </c>
      <c r="BW291" s="93">
        <v>21</v>
      </c>
    </row>
    <row r="292" spans="1:11" ht="15">
      <c r="A292" s="96"/>
      <c r="C292" s="98" t="s">
        <v>142</v>
      </c>
      <c r="D292" s="99"/>
      <c r="F292" s="100">
        <v>5</v>
      </c>
      <c r="K292" s="101"/>
    </row>
    <row r="293" spans="1:47" ht="15" customHeight="1">
      <c r="A293" s="87"/>
      <c r="B293" s="88" t="s">
        <v>538</v>
      </c>
      <c r="C293" s="89" t="s">
        <v>539</v>
      </c>
      <c r="D293" s="89"/>
      <c r="E293" s="90" t="s">
        <v>79</v>
      </c>
      <c r="F293" s="90" t="s">
        <v>79</v>
      </c>
      <c r="G293" s="90" t="s">
        <v>79</v>
      </c>
      <c r="H293" s="61">
        <f>SUM(H294:H299)</f>
        <v>0</v>
      </c>
      <c r="I293" s="71"/>
      <c r="J293" s="61">
        <f>SUM(J294:J299)</f>
        <v>3.6913676</v>
      </c>
      <c r="K293" s="91"/>
      <c r="AI293" s="71"/>
      <c r="AS293" s="61">
        <f>SUM(AJ294:AJ299)</f>
        <v>0</v>
      </c>
      <c r="AT293" s="61">
        <f>SUM(AK294:AK299)</f>
        <v>0</v>
      </c>
      <c r="AU293" s="61">
        <f>SUM(AL294:AL299)</f>
        <v>0</v>
      </c>
    </row>
    <row r="294" spans="1:75" ht="13.5" customHeight="1">
      <c r="A294" s="92" t="s">
        <v>540</v>
      </c>
      <c r="B294" s="10" t="s">
        <v>541</v>
      </c>
      <c r="C294" s="8" t="s">
        <v>542</v>
      </c>
      <c r="D294" s="8"/>
      <c r="E294" s="10" t="s">
        <v>119</v>
      </c>
      <c r="F294" s="93">
        <v>0.36</v>
      </c>
      <c r="G294" s="93">
        <v>0</v>
      </c>
      <c r="H294" s="93">
        <f>F294*G294</f>
        <v>0</v>
      </c>
      <c r="I294" s="93">
        <v>1.80182</v>
      </c>
      <c r="J294" s="93">
        <f>F294*I294</f>
        <v>0.6486552</v>
      </c>
      <c r="K294" s="94" t="s">
        <v>120</v>
      </c>
      <c r="Z294" s="93">
        <f>IF(AQ294="5",BJ294,0)</f>
        <v>0</v>
      </c>
      <c r="AB294" s="93">
        <f>IF(AQ294="1",BH294,0)</f>
        <v>0</v>
      </c>
      <c r="AC294" s="93">
        <f>IF(AQ294="1",BI294,0)</f>
        <v>0</v>
      </c>
      <c r="AD294" s="93">
        <f>IF(AQ294="7",BH294,0)</f>
        <v>0</v>
      </c>
      <c r="AE294" s="93">
        <f>IF(AQ294="7",BI294,0)</f>
        <v>0</v>
      </c>
      <c r="AF294" s="93">
        <f>IF(AQ294="2",BH294,0)</f>
        <v>0</v>
      </c>
      <c r="AG294" s="93">
        <f>IF(AQ294="2",BI294,0)</f>
        <v>0</v>
      </c>
      <c r="AH294" s="93">
        <f>IF(AQ294="0",BJ294,0)</f>
        <v>0</v>
      </c>
      <c r="AI294" s="71"/>
      <c r="AJ294" s="93">
        <f>IF(AN294=0,H294,0)</f>
        <v>0</v>
      </c>
      <c r="AK294" s="93">
        <f>IF(AN294=12,H294,0)</f>
        <v>0</v>
      </c>
      <c r="AL294" s="93">
        <f>IF(AN294=21,H294,0)</f>
        <v>0</v>
      </c>
      <c r="AN294" s="93">
        <v>21</v>
      </c>
      <c r="AO294" s="93">
        <f>G294*0.035878629</f>
        <v>0</v>
      </c>
      <c r="AP294" s="93">
        <f>G294*(1-0.035878629)</f>
        <v>0</v>
      </c>
      <c r="AQ294" s="95" t="s">
        <v>116</v>
      </c>
      <c r="AV294" s="93">
        <f>AW294+AX294</f>
        <v>0</v>
      </c>
      <c r="AW294" s="93">
        <f>F294*AO294</f>
        <v>0</v>
      </c>
      <c r="AX294" s="93">
        <f>F294*AP294</f>
        <v>0</v>
      </c>
      <c r="AY294" s="95" t="s">
        <v>543</v>
      </c>
      <c r="AZ294" s="95" t="s">
        <v>460</v>
      </c>
      <c r="BA294" s="71" t="s">
        <v>123</v>
      </c>
      <c r="BC294" s="93">
        <f>AW294+AX294</f>
        <v>0</v>
      </c>
      <c r="BD294" s="93">
        <f>G294/(100-BE294)*100</f>
        <v>0</v>
      </c>
      <c r="BE294" s="93">
        <v>0</v>
      </c>
      <c r="BF294" s="93">
        <f>J294</f>
        <v>0.6486552</v>
      </c>
      <c r="BH294" s="93">
        <f>F294*AO294</f>
        <v>0</v>
      </c>
      <c r="BI294" s="93">
        <f>F294*AP294</f>
        <v>0</v>
      </c>
      <c r="BJ294" s="93">
        <f>F294*G294</f>
        <v>0</v>
      </c>
      <c r="BK294" s="93"/>
      <c r="BL294" s="93">
        <v>97</v>
      </c>
      <c r="BW294" s="93">
        <v>21</v>
      </c>
    </row>
    <row r="295" spans="1:11" ht="15">
      <c r="A295" s="96"/>
      <c r="C295" s="98" t="s">
        <v>544</v>
      </c>
      <c r="D295" s="99"/>
      <c r="F295" s="100">
        <v>0.36</v>
      </c>
      <c r="K295" s="101"/>
    </row>
    <row r="296" spans="1:75" ht="13.5" customHeight="1">
      <c r="A296" s="92" t="s">
        <v>545</v>
      </c>
      <c r="B296" s="10" t="s">
        <v>546</v>
      </c>
      <c r="C296" s="8" t="s">
        <v>547</v>
      </c>
      <c r="D296" s="8"/>
      <c r="E296" s="10" t="s">
        <v>135</v>
      </c>
      <c r="F296" s="93">
        <v>52.051</v>
      </c>
      <c r="G296" s="93">
        <v>0</v>
      </c>
      <c r="H296" s="93">
        <f>F296*G296</f>
        <v>0</v>
      </c>
      <c r="I296" s="93">
        <v>0.046</v>
      </c>
      <c r="J296" s="93">
        <f>F296*I296</f>
        <v>2.394346</v>
      </c>
      <c r="K296" s="94" t="s">
        <v>120</v>
      </c>
      <c r="Z296" s="93">
        <f>IF(AQ296="5",BJ296,0)</f>
        <v>0</v>
      </c>
      <c r="AB296" s="93">
        <f>IF(AQ296="1",BH296,0)</f>
        <v>0</v>
      </c>
      <c r="AC296" s="93">
        <f>IF(AQ296="1",BI296,0)</f>
        <v>0</v>
      </c>
      <c r="AD296" s="93">
        <f>IF(AQ296="7",BH296,0)</f>
        <v>0</v>
      </c>
      <c r="AE296" s="93">
        <f>IF(AQ296="7",BI296,0)</f>
        <v>0</v>
      </c>
      <c r="AF296" s="93">
        <f>IF(AQ296="2",BH296,0)</f>
        <v>0</v>
      </c>
      <c r="AG296" s="93">
        <f>IF(AQ296="2",BI296,0)</f>
        <v>0</v>
      </c>
      <c r="AH296" s="93">
        <f>IF(AQ296="0",BJ296,0)</f>
        <v>0</v>
      </c>
      <c r="AI296" s="71"/>
      <c r="AJ296" s="93">
        <f>IF(AN296=0,H296,0)</f>
        <v>0</v>
      </c>
      <c r="AK296" s="93">
        <f>IF(AN296=12,H296,0)</f>
        <v>0</v>
      </c>
      <c r="AL296" s="93">
        <f>IF(AN296=21,H296,0)</f>
        <v>0</v>
      </c>
      <c r="AN296" s="93">
        <v>21</v>
      </c>
      <c r="AO296" s="93">
        <f>G296*0</f>
        <v>0</v>
      </c>
      <c r="AP296" s="93">
        <f>G296*(1-0)</f>
        <v>0</v>
      </c>
      <c r="AQ296" s="95" t="s">
        <v>116</v>
      </c>
      <c r="AV296" s="93">
        <f>AW296+AX296</f>
        <v>0</v>
      </c>
      <c r="AW296" s="93">
        <f>F296*AO296</f>
        <v>0</v>
      </c>
      <c r="AX296" s="93">
        <f>F296*AP296</f>
        <v>0</v>
      </c>
      <c r="AY296" s="95" t="s">
        <v>543</v>
      </c>
      <c r="AZ296" s="95" t="s">
        <v>460</v>
      </c>
      <c r="BA296" s="71" t="s">
        <v>123</v>
      </c>
      <c r="BC296" s="93">
        <f>AW296+AX296</f>
        <v>0</v>
      </c>
      <c r="BD296" s="93">
        <f>G296/(100-BE296)*100</f>
        <v>0</v>
      </c>
      <c r="BE296" s="93">
        <v>0</v>
      </c>
      <c r="BF296" s="93">
        <f>J296</f>
        <v>2.394346</v>
      </c>
      <c r="BH296" s="93">
        <f>F296*AO296</f>
        <v>0</v>
      </c>
      <c r="BI296" s="93">
        <f>F296*AP296</f>
        <v>0</v>
      </c>
      <c r="BJ296" s="93">
        <f>F296*G296</f>
        <v>0</v>
      </c>
      <c r="BK296" s="93"/>
      <c r="BL296" s="93">
        <v>97</v>
      </c>
      <c r="BW296" s="93">
        <v>21</v>
      </c>
    </row>
    <row r="297" spans="1:11" ht="15">
      <c r="A297" s="96"/>
      <c r="C297" s="98" t="s">
        <v>548</v>
      </c>
      <c r="D297" s="99"/>
      <c r="F297" s="100">
        <v>23.212</v>
      </c>
      <c r="K297" s="101"/>
    </row>
    <row r="298" spans="1:11" ht="15">
      <c r="A298" s="96"/>
      <c r="C298" s="98" t="s">
        <v>549</v>
      </c>
      <c r="D298" s="99"/>
      <c r="F298" s="100">
        <v>28.839</v>
      </c>
      <c r="K298" s="101"/>
    </row>
    <row r="299" spans="1:75" ht="13.5" customHeight="1">
      <c r="A299" s="92" t="s">
        <v>550</v>
      </c>
      <c r="B299" s="10" t="s">
        <v>551</v>
      </c>
      <c r="C299" s="8" t="s">
        <v>552</v>
      </c>
      <c r="D299" s="8"/>
      <c r="E299" s="10" t="s">
        <v>135</v>
      </c>
      <c r="F299" s="93">
        <v>9.5348</v>
      </c>
      <c r="G299" s="93">
        <v>0</v>
      </c>
      <c r="H299" s="93">
        <f>F299*G299</f>
        <v>0</v>
      </c>
      <c r="I299" s="93">
        <v>0.068</v>
      </c>
      <c r="J299" s="93">
        <f>F299*I299</f>
        <v>0.6483664</v>
      </c>
      <c r="K299" s="94" t="s">
        <v>120</v>
      </c>
      <c r="Z299" s="93">
        <f>IF(AQ299="5",BJ299,0)</f>
        <v>0</v>
      </c>
      <c r="AB299" s="93">
        <f>IF(AQ299="1",BH299,0)</f>
        <v>0</v>
      </c>
      <c r="AC299" s="93">
        <f>IF(AQ299="1",BI299,0)</f>
        <v>0</v>
      </c>
      <c r="AD299" s="93">
        <f>IF(AQ299="7",BH299,0)</f>
        <v>0</v>
      </c>
      <c r="AE299" s="93">
        <f>IF(AQ299="7",BI299,0)</f>
        <v>0</v>
      </c>
      <c r="AF299" s="93">
        <f>IF(AQ299="2",BH299,0)</f>
        <v>0</v>
      </c>
      <c r="AG299" s="93">
        <f>IF(AQ299="2",BI299,0)</f>
        <v>0</v>
      </c>
      <c r="AH299" s="93">
        <f>IF(AQ299="0",BJ299,0)</f>
        <v>0</v>
      </c>
      <c r="AI299" s="71"/>
      <c r="AJ299" s="93">
        <f>IF(AN299=0,H299,0)</f>
        <v>0</v>
      </c>
      <c r="AK299" s="93">
        <f>IF(AN299=12,H299,0)</f>
        <v>0</v>
      </c>
      <c r="AL299" s="93">
        <f>IF(AN299=21,H299,0)</f>
        <v>0</v>
      </c>
      <c r="AN299" s="93">
        <v>21</v>
      </c>
      <c r="AO299" s="93">
        <f>G299*0</f>
        <v>0</v>
      </c>
      <c r="AP299" s="93">
        <f>G299*(1-0)</f>
        <v>0</v>
      </c>
      <c r="AQ299" s="95" t="s">
        <v>116</v>
      </c>
      <c r="AV299" s="93">
        <f>AW299+AX299</f>
        <v>0</v>
      </c>
      <c r="AW299" s="93">
        <f>F299*AO299</f>
        <v>0</v>
      </c>
      <c r="AX299" s="93">
        <f>F299*AP299</f>
        <v>0</v>
      </c>
      <c r="AY299" s="95" t="s">
        <v>543</v>
      </c>
      <c r="AZ299" s="95" t="s">
        <v>460</v>
      </c>
      <c r="BA299" s="71" t="s">
        <v>123</v>
      </c>
      <c r="BC299" s="93">
        <f>AW299+AX299</f>
        <v>0</v>
      </c>
      <c r="BD299" s="93">
        <f>G299/(100-BE299)*100</f>
        <v>0</v>
      </c>
      <c r="BE299" s="93">
        <v>0</v>
      </c>
      <c r="BF299" s="93">
        <f>J299</f>
        <v>0.6483664</v>
      </c>
      <c r="BH299" s="93">
        <f>F299*AO299</f>
        <v>0</v>
      </c>
      <c r="BI299" s="93">
        <f>F299*AP299</f>
        <v>0</v>
      </c>
      <c r="BJ299" s="93">
        <f>F299*G299</f>
        <v>0</v>
      </c>
      <c r="BK299" s="93"/>
      <c r="BL299" s="93">
        <v>97</v>
      </c>
      <c r="BW299" s="93">
        <v>21</v>
      </c>
    </row>
    <row r="300" spans="1:11" ht="13.5" customHeight="1">
      <c r="A300" s="96"/>
      <c r="C300" s="97" t="s">
        <v>553</v>
      </c>
      <c r="D300" s="97"/>
      <c r="E300" s="97"/>
      <c r="F300" s="97"/>
      <c r="G300" s="97"/>
      <c r="H300" s="97"/>
      <c r="I300" s="97"/>
      <c r="J300" s="97"/>
      <c r="K300" s="97"/>
    </row>
    <row r="301" spans="1:11" ht="15">
      <c r="A301" s="96"/>
      <c r="C301" s="98" t="s">
        <v>554</v>
      </c>
      <c r="D301" s="99"/>
      <c r="F301" s="100">
        <v>6.299</v>
      </c>
      <c r="K301" s="101"/>
    </row>
    <row r="302" spans="1:11" ht="15">
      <c r="A302" s="96"/>
      <c r="C302" s="98" t="s">
        <v>555</v>
      </c>
      <c r="D302" s="99"/>
      <c r="F302" s="100">
        <v>3.2358</v>
      </c>
      <c r="K302" s="101"/>
    </row>
    <row r="303" spans="1:47" ht="15" customHeight="1">
      <c r="A303" s="87"/>
      <c r="B303" s="88" t="s">
        <v>556</v>
      </c>
      <c r="C303" s="89" t="s">
        <v>557</v>
      </c>
      <c r="D303" s="89"/>
      <c r="E303" s="90" t="s">
        <v>79</v>
      </c>
      <c r="F303" s="90" t="s">
        <v>79</v>
      </c>
      <c r="G303" s="90" t="s">
        <v>79</v>
      </c>
      <c r="H303" s="61">
        <f>SUM(H304:H304)</f>
        <v>0</v>
      </c>
      <c r="I303" s="71"/>
      <c r="J303" s="61">
        <f>SUM(J304:J304)</f>
        <v>0</v>
      </c>
      <c r="K303" s="91"/>
      <c r="AI303" s="71"/>
      <c r="AS303" s="61">
        <f>SUM(AJ304:AJ304)</f>
        <v>0</v>
      </c>
      <c r="AT303" s="61">
        <f>SUM(AK304:AK304)</f>
        <v>0</v>
      </c>
      <c r="AU303" s="61">
        <f>SUM(AL304:AL304)</f>
        <v>0</v>
      </c>
    </row>
    <row r="304" spans="1:75" ht="13.5" customHeight="1">
      <c r="A304" s="92" t="s">
        <v>558</v>
      </c>
      <c r="B304" s="10" t="s">
        <v>559</v>
      </c>
      <c r="C304" s="8" t="s">
        <v>560</v>
      </c>
      <c r="D304" s="8"/>
      <c r="E304" s="10" t="s">
        <v>302</v>
      </c>
      <c r="F304" s="93">
        <v>46.84551</v>
      </c>
      <c r="G304" s="93">
        <v>0</v>
      </c>
      <c r="H304" s="93">
        <f>F304*G304</f>
        <v>0</v>
      </c>
      <c r="I304" s="93">
        <v>0</v>
      </c>
      <c r="J304" s="93">
        <f>F304*I304</f>
        <v>0</v>
      </c>
      <c r="K304" s="94" t="s">
        <v>120</v>
      </c>
      <c r="Z304" s="93">
        <f>IF(AQ304="5",BJ304,0)</f>
        <v>0</v>
      </c>
      <c r="AB304" s="93">
        <f>IF(AQ304="1",BH304,0)</f>
        <v>0</v>
      </c>
      <c r="AC304" s="93">
        <f>IF(AQ304="1",BI304,0)</f>
        <v>0</v>
      </c>
      <c r="AD304" s="93">
        <f>IF(AQ304="7",BH304,0)</f>
        <v>0</v>
      </c>
      <c r="AE304" s="93">
        <f>IF(AQ304="7",BI304,0)</f>
        <v>0</v>
      </c>
      <c r="AF304" s="93">
        <f>IF(AQ304="2",BH304,0)</f>
        <v>0</v>
      </c>
      <c r="AG304" s="93">
        <f>IF(AQ304="2",BI304,0)</f>
        <v>0</v>
      </c>
      <c r="AH304" s="93">
        <f>IF(AQ304="0",BJ304,0)</f>
        <v>0</v>
      </c>
      <c r="AI304" s="71"/>
      <c r="AJ304" s="93">
        <f>IF(AN304=0,H304,0)</f>
        <v>0</v>
      </c>
      <c r="AK304" s="93">
        <f>IF(AN304=12,H304,0)</f>
        <v>0</v>
      </c>
      <c r="AL304" s="93">
        <f>IF(AN304=21,H304,0)</f>
        <v>0</v>
      </c>
      <c r="AN304" s="93">
        <v>21</v>
      </c>
      <c r="AO304" s="93">
        <f>G304*0</f>
        <v>0</v>
      </c>
      <c r="AP304" s="93">
        <f>G304*(1-0)</f>
        <v>0</v>
      </c>
      <c r="AQ304" s="95" t="s">
        <v>142</v>
      </c>
      <c r="AV304" s="93">
        <f>AW304+AX304</f>
        <v>0</v>
      </c>
      <c r="AW304" s="93">
        <f>F304*AO304</f>
        <v>0</v>
      </c>
      <c r="AX304" s="93">
        <f>F304*AP304</f>
        <v>0</v>
      </c>
      <c r="AY304" s="95" t="s">
        <v>561</v>
      </c>
      <c r="AZ304" s="95" t="s">
        <v>460</v>
      </c>
      <c r="BA304" s="71" t="s">
        <v>123</v>
      </c>
      <c r="BC304" s="93">
        <f>AW304+AX304</f>
        <v>0</v>
      </c>
      <c r="BD304" s="93">
        <f>G304/(100-BE304)*100</f>
        <v>0</v>
      </c>
      <c r="BE304" s="93">
        <v>0</v>
      </c>
      <c r="BF304" s="93">
        <f>J304</f>
        <v>0</v>
      </c>
      <c r="BH304" s="93">
        <f>F304*AO304</f>
        <v>0</v>
      </c>
      <c r="BI304" s="93">
        <f>F304*AP304</f>
        <v>0</v>
      </c>
      <c r="BJ304" s="93">
        <f>F304*G304</f>
        <v>0</v>
      </c>
      <c r="BK304" s="93"/>
      <c r="BL304" s="93"/>
      <c r="BW304" s="93">
        <v>21</v>
      </c>
    </row>
    <row r="305" spans="1:47" ht="15" customHeight="1">
      <c r="A305" s="87"/>
      <c r="B305" s="88" t="s">
        <v>562</v>
      </c>
      <c r="C305" s="89" t="s">
        <v>563</v>
      </c>
      <c r="D305" s="89"/>
      <c r="E305" s="90" t="s">
        <v>79</v>
      </c>
      <c r="F305" s="90" t="s">
        <v>79</v>
      </c>
      <c r="G305" s="90" t="s">
        <v>79</v>
      </c>
      <c r="H305" s="61">
        <f>SUM(H306:H324)</f>
        <v>0</v>
      </c>
      <c r="I305" s="71"/>
      <c r="J305" s="61">
        <f>SUM(J306:J324)</f>
        <v>0</v>
      </c>
      <c r="K305" s="91"/>
      <c r="AI305" s="71"/>
      <c r="AS305" s="61">
        <f>SUM(AJ306:AJ324)</f>
        <v>0</v>
      </c>
      <c r="AT305" s="61">
        <f>SUM(AK306:AK324)</f>
        <v>0</v>
      </c>
      <c r="AU305" s="61">
        <f>SUM(AL306:AL324)</f>
        <v>0</v>
      </c>
    </row>
    <row r="306" spans="1:75" ht="13.5" customHeight="1">
      <c r="A306" s="92" t="s">
        <v>564</v>
      </c>
      <c r="B306" s="10" t="s">
        <v>565</v>
      </c>
      <c r="C306" s="8" t="s">
        <v>566</v>
      </c>
      <c r="D306" s="8"/>
      <c r="E306" s="10" t="s">
        <v>302</v>
      </c>
      <c r="F306" s="93">
        <v>33.71</v>
      </c>
      <c r="G306" s="93">
        <v>0</v>
      </c>
      <c r="H306" s="93">
        <f>F306*G306</f>
        <v>0</v>
      </c>
      <c r="I306" s="93">
        <v>0</v>
      </c>
      <c r="J306" s="93">
        <f>F306*I306</f>
        <v>0</v>
      </c>
      <c r="K306" s="94" t="s">
        <v>120</v>
      </c>
      <c r="Z306" s="93">
        <f>IF(AQ306="5",BJ306,0)</f>
        <v>0</v>
      </c>
      <c r="AB306" s="93">
        <f>IF(AQ306="1",BH306,0)</f>
        <v>0</v>
      </c>
      <c r="AC306" s="93">
        <f>IF(AQ306="1",BI306,0)</f>
        <v>0</v>
      </c>
      <c r="AD306" s="93">
        <f>IF(AQ306="7",BH306,0)</f>
        <v>0</v>
      </c>
      <c r="AE306" s="93">
        <f>IF(AQ306="7",BI306,0)</f>
        <v>0</v>
      </c>
      <c r="AF306" s="93">
        <f>IF(AQ306="2",BH306,0)</f>
        <v>0</v>
      </c>
      <c r="AG306" s="93">
        <f>IF(AQ306="2",BI306,0)</f>
        <v>0</v>
      </c>
      <c r="AH306" s="93">
        <f>IF(AQ306="0",BJ306,0)</f>
        <v>0</v>
      </c>
      <c r="AI306" s="71"/>
      <c r="AJ306" s="93">
        <f>IF(AN306=0,H306,0)</f>
        <v>0</v>
      </c>
      <c r="AK306" s="93">
        <f>IF(AN306=12,H306,0)</f>
        <v>0</v>
      </c>
      <c r="AL306" s="93">
        <f>IF(AN306=21,H306,0)</f>
        <v>0</v>
      </c>
      <c r="AN306" s="93">
        <v>21</v>
      </c>
      <c r="AO306" s="93">
        <f>G306*0</f>
        <v>0</v>
      </c>
      <c r="AP306" s="93">
        <f>G306*(1-0)</f>
        <v>0</v>
      </c>
      <c r="AQ306" s="95" t="s">
        <v>142</v>
      </c>
      <c r="AV306" s="93">
        <f>AW306+AX306</f>
        <v>0</v>
      </c>
      <c r="AW306" s="93">
        <f>F306*AO306</f>
        <v>0</v>
      </c>
      <c r="AX306" s="93">
        <f>F306*AP306</f>
        <v>0</v>
      </c>
      <c r="AY306" s="95" t="s">
        <v>567</v>
      </c>
      <c r="AZ306" s="95" t="s">
        <v>460</v>
      </c>
      <c r="BA306" s="71" t="s">
        <v>123</v>
      </c>
      <c r="BC306" s="93">
        <f>AW306+AX306</f>
        <v>0</v>
      </c>
      <c r="BD306" s="93">
        <f>G306/(100-BE306)*100</f>
        <v>0</v>
      </c>
      <c r="BE306" s="93">
        <v>0</v>
      </c>
      <c r="BF306" s="93">
        <f>J306</f>
        <v>0</v>
      </c>
      <c r="BH306" s="93">
        <f>F306*AO306</f>
        <v>0</v>
      </c>
      <c r="BI306" s="93">
        <f>F306*AP306</f>
        <v>0</v>
      </c>
      <c r="BJ306" s="93">
        <f>F306*G306</f>
        <v>0</v>
      </c>
      <c r="BK306" s="93"/>
      <c r="BL306" s="93"/>
      <c r="BW306" s="93">
        <v>21</v>
      </c>
    </row>
    <row r="307" spans="1:11" ht="15">
      <c r="A307" s="96"/>
      <c r="C307" s="98" t="s">
        <v>568</v>
      </c>
      <c r="D307" s="99"/>
      <c r="F307" s="100">
        <v>33.71</v>
      </c>
      <c r="K307" s="101"/>
    </row>
    <row r="308" spans="1:75" ht="13.5" customHeight="1">
      <c r="A308" s="92" t="s">
        <v>569</v>
      </c>
      <c r="B308" s="10" t="s">
        <v>570</v>
      </c>
      <c r="C308" s="8" t="s">
        <v>571</v>
      </c>
      <c r="D308" s="8"/>
      <c r="E308" s="10" t="s">
        <v>302</v>
      </c>
      <c r="F308" s="93">
        <v>5.61833</v>
      </c>
      <c r="G308" s="93">
        <v>0</v>
      </c>
      <c r="H308" s="93">
        <f>F308*G308</f>
        <v>0</v>
      </c>
      <c r="I308" s="93">
        <v>0</v>
      </c>
      <c r="J308" s="93">
        <f>F308*I308</f>
        <v>0</v>
      </c>
      <c r="K308" s="94" t="s">
        <v>120</v>
      </c>
      <c r="Z308" s="93">
        <f>IF(AQ308="5",BJ308,0)</f>
        <v>0</v>
      </c>
      <c r="AB308" s="93">
        <f>IF(AQ308="1",BH308,0)</f>
        <v>0</v>
      </c>
      <c r="AC308" s="93">
        <f>IF(AQ308="1",BI308,0)</f>
        <v>0</v>
      </c>
      <c r="AD308" s="93">
        <f>IF(AQ308="7",BH308,0)</f>
        <v>0</v>
      </c>
      <c r="AE308" s="93">
        <f>IF(AQ308="7",BI308,0)</f>
        <v>0</v>
      </c>
      <c r="AF308" s="93">
        <f>IF(AQ308="2",BH308,0)</f>
        <v>0</v>
      </c>
      <c r="AG308" s="93">
        <f>IF(AQ308="2",BI308,0)</f>
        <v>0</v>
      </c>
      <c r="AH308" s="93">
        <f>IF(AQ308="0",BJ308,0)</f>
        <v>0</v>
      </c>
      <c r="AI308" s="71"/>
      <c r="AJ308" s="93">
        <f>IF(AN308=0,H308,0)</f>
        <v>0</v>
      </c>
      <c r="AK308" s="93">
        <f>IF(AN308=12,H308,0)</f>
        <v>0</v>
      </c>
      <c r="AL308" s="93">
        <f>IF(AN308=21,H308,0)</f>
        <v>0</v>
      </c>
      <c r="AN308" s="93">
        <v>21</v>
      </c>
      <c r="AO308" s="93">
        <f>G308*0</f>
        <v>0</v>
      </c>
      <c r="AP308" s="93">
        <f>G308*(1-0)</f>
        <v>0</v>
      </c>
      <c r="AQ308" s="95" t="s">
        <v>142</v>
      </c>
      <c r="AV308" s="93">
        <f>AW308+AX308</f>
        <v>0</v>
      </c>
      <c r="AW308" s="93">
        <f>F308*AO308</f>
        <v>0</v>
      </c>
      <c r="AX308" s="93">
        <f>F308*AP308</f>
        <v>0</v>
      </c>
      <c r="AY308" s="95" t="s">
        <v>567</v>
      </c>
      <c r="AZ308" s="95" t="s">
        <v>460</v>
      </c>
      <c r="BA308" s="71" t="s">
        <v>123</v>
      </c>
      <c r="BC308" s="93">
        <f>AW308+AX308</f>
        <v>0</v>
      </c>
      <c r="BD308" s="93">
        <f>G308/(100-BE308)*100</f>
        <v>0</v>
      </c>
      <c r="BE308" s="93">
        <v>0</v>
      </c>
      <c r="BF308" s="93">
        <f>J308</f>
        <v>0</v>
      </c>
      <c r="BH308" s="93">
        <f>F308*AO308</f>
        <v>0</v>
      </c>
      <c r="BI308" s="93">
        <f>F308*AP308</f>
        <v>0</v>
      </c>
      <c r="BJ308" s="93">
        <f>F308*G308</f>
        <v>0</v>
      </c>
      <c r="BK308" s="93"/>
      <c r="BL308" s="93"/>
      <c r="BW308" s="93">
        <v>21</v>
      </c>
    </row>
    <row r="309" spans="1:11" ht="15">
      <c r="A309" s="96"/>
      <c r="C309" s="98" t="s">
        <v>572</v>
      </c>
      <c r="D309" s="99"/>
      <c r="F309" s="100">
        <v>5.61833</v>
      </c>
      <c r="K309" s="101"/>
    </row>
    <row r="310" spans="1:75" ht="13.5" customHeight="1">
      <c r="A310" s="92" t="s">
        <v>573</v>
      </c>
      <c r="B310" s="10" t="s">
        <v>574</v>
      </c>
      <c r="C310" s="8" t="s">
        <v>575</v>
      </c>
      <c r="D310" s="8"/>
      <c r="E310" s="10" t="s">
        <v>302</v>
      </c>
      <c r="F310" s="93">
        <v>33.71</v>
      </c>
      <c r="G310" s="93">
        <v>0</v>
      </c>
      <c r="H310" s="93">
        <f>F310*G310</f>
        <v>0</v>
      </c>
      <c r="I310" s="93">
        <v>0</v>
      </c>
      <c r="J310" s="93">
        <f>F310*I310</f>
        <v>0</v>
      </c>
      <c r="K310" s="94" t="s">
        <v>120</v>
      </c>
      <c r="Z310" s="93">
        <f>IF(AQ310="5",BJ310,0)</f>
        <v>0</v>
      </c>
      <c r="AB310" s="93">
        <f>IF(AQ310="1",BH310,0)</f>
        <v>0</v>
      </c>
      <c r="AC310" s="93">
        <f>IF(AQ310="1",BI310,0)</f>
        <v>0</v>
      </c>
      <c r="AD310" s="93">
        <f>IF(AQ310="7",BH310,0)</f>
        <v>0</v>
      </c>
      <c r="AE310" s="93">
        <f>IF(AQ310="7",BI310,0)</f>
        <v>0</v>
      </c>
      <c r="AF310" s="93">
        <f>IF(AQ310="2",BH310,0)</f>
        <v>0</v>
      </c>
      <c r="AG310" s="93">
        <f>IF(AQ310="2",BI310,0)</f>
        <v>0</v>
      </c>
      <c r="AH310" s="93">
        <f>IF(AQ310="0",BJ310,0)</f>
        <v>0</v>
      </c>
      <c r="AI310" s="71"/>
      <c r="AJ310" s="93">
        <f>IF(AN310=0,H310,0)</f>
        <v>0</v>
      </c>
      <c r="AK310" s="93">
        <f>IF(AN310=12,H310,0)</f>
        <v>0</v>
      </c>
      <c r="AL310" s="93">
        <f>IF(AN310=21,H310,0)</f>
        <v>0</v>
      </c>
      <c r="AN310" s="93">
        <v>21</v>
      </c>
      <c r="AO310" s="93">
        <f>G310*0</f>
        <v>0</v>
      </c>
      <c r="AP310" s="93">
        <f>G310*(1-0)</f>
        <v>0</v>
      </c>
      <c r="AQ310" s="95" t="s">
        <v>142</v>
      </c>
      <c r="AV310" s="93">
        <f>AW310+AX310</f>
        <v>0</v>
      </c>
      <c r="AW310" s="93">
        <f>F310*AO310</f>
        <v>0</v>
      </c>
      <c r="AX310" s="93">
        <f>F310*AP310</f>
        <v>0</v>
      </c>
      <c r="AY310" s="95" t="s">
        <v>567</v>
      </c>
      <c r="AZ310" s="95" t="s">
        <v>460</v>
      </c>
      <c r="BA310" s="71" t="s">
        <v>123</v>
      </c>
      <c r="BC310" s="93">
        <f>AW310+AX310</f>
        <v>0</v>
      </c>
      <c r="BD310" s="93">
        <f>G310/(100-BE310)*100</f>
        <v>0</v>
      </c>
      <c r="BE310" s="93">
        <v>0</v>
      </c>
      <c r="BF310" s="93">
        <f>J310</f>
        <v>0</v>
      </c>
      <c r="BH310" s="93">
        <f>F310*AO310</f>
        <v>0</v>
      </c>
      <c r="BI310" s="93">
        <f>F310*AP310</f>
        <v>0</v>
      </c>
      <c r="BJ310" s="93">
        <f>F310*G310</f>
        <v>0</v>
      </c>
      <c r="BK310" s="93"/>
      <c r="BL310" s="93"/>
      <c r="BW310" s="93">
        <v>21</v>
      </c>
    </row>
    <row r="311" spans="1:11" ht="15">
      <c r="A311" s="96"/>
      <c r="C311" s="98" t="s">
        <v>576</v>
      </c>
      <c r="D311" s="99"/>
      <c r="F311" s="100">
        <v>33.71</v>
      </c>
      <c r="K311" s="101"/>
    </row>
    <row r="312" spans="1:75" ht="13.5" customHeight="1">
      <c r="A312" s="92" t="s">
        <v>577</v>
      </c>
      <c r="B312" s="10" t="s">
        <v>578</v>
      </c>
      <c r="C312" s="8" t="s">
        <v>579</v>
      </c>
      <c r="D312" s="8"/>
      <c r="E312" s="10" t="s">
        <v>302</v>
      </c>
      <c r="F312" s="93">
        <v>438.23</v>
      </c>
      <c r="G312" s="93">
        <v>0</v>
      </c>
      <c r="H312" s="93">
        <f>F312*G312</f>
        <v>0</v>
      </c>
      <c r="I312" s="93">
        <v>0</v>
      </c>
      <c r="J312" s="93">
        <f>F312*I312</f>
        <v>0</v>
      </c>
      <c r="K312" s="94" t="s">
        <v>120</v>
      </c>
      <c r="Z312" s="93">
        <f>IF(AQ312="5",BJ312,0)</f>
        <v>0</v>
      </c>
      <c r="AB312" s="93">
        <f>IF(AQ312="1",BH312,0)</f>
        <v>0</v>
      </c>
      <c r="AC312" s="93">
        <f>IF(AQ312="1",BI312,0)</f>
        <v>0</v>
      </c>
      <c r="AD312" s="93">
        <f>IF(AQ312="7",BH312,0)</f>
        <v>0</v>
      </c>
      <c r="AE312" s="93">
        <f>IF(AQ312="7",BI312,0)</f>
        <v>0</v>
      </c>
      <c r="AF312" s="93">
        <f>IF(AQ312="2",BH312,0)</f>
        <v>0</v>
      </c>
      <c r="AG312" s="93">
        <f>IF(AQ312="2",BI312,0)</f>
        <v>0</v>
      </c>
      <c r="AH312" s="93">
        <f>IF(AQ312="0",BJ312,0)</f>
        <v>0</v>
      </c>
      <c r="AI312" s="71"/>
      <c r="AJ312" s="93">
        <f>IF(AN312=0,H312,0)</f>
        <v>0</v>
      </c>
      <c r="AK312" s="93">
        <f>IF(AN312=12,H312,0)</f>
        <v>0</v>
      </c>
      <c r="AL312" s="93">
        <f>IF(AN312=21,H312,0)</f>
        <v>0</v>
      </c>
      <c r="AN312" s="93">
        <v>21</v>
      </c>
      <c r="AO312" s="93">
        <f>G312*0</f>
        <v>0</v>
      </c>
      <c r="AP312" s="93">
        <f>G312*(1-0)</f>
        <v>0</v>
      </c>
      <c r="AQ312" s="95" t="s">
        <v>142</v>
      </c>
      <c r="AV312" s="93">
        <f>AW312+AX312</f>
        <v>0</v>
      </c>
      <c r="AW312" s="93">
        <f>F312*AO312</f>
        <v>0</v>
      </c>
      <c r="AX312" s="93">
        <f>F312*AP312</f>
        <v>0</v>
      </c>
      <c r="AY312" s="95" t="s">
        <v>567</v>
      </c>
      <c r="AZ312" s="95" t="s">
        <v>460</v>
      </c>
      <c r="BA312" s="71" t="s">
        <v>123</v>
      </c>
      <c r="BC312" s="93">
        <f>AW312+AX312</f>
        <v>0</v>
      </c>
      <c r="BD312" s="93">
        <f>G312/(100-BE312)*100</f>
        <v>0</v>
      </c>
      <c r="BE312" s="93">
        <v>0</v>
      </c>
      <c r="BF312" s="93">
        <f>J312</f>
        <v>0</v>
      </c>
      <c r="BH312" s="93">
        <f>F312*AO312</f>
        <v>0</v>
      </c>
      <c r="BI312" s="93">
        <f>F312*AP312</f>
        <v>0</v>
      </c>
      <c r="BJ312" s="93">
        <f>F312*G312</f>
        <v>0</v>
      </c>
      <c r="BK312" s="93"/>
      <c r="BL312" s="93"/>
      <c r="BW312" s="93">
        <v>21</v>
      </c>
    </row>
    <row r="313" spans="1:11" ht="15">
      <c r="A313" s="96"/>
      <c r="C313" s="98" t="s">
        <v>580</v>
      </c>
      <c r="D313" s="99"/>
      <c r="F313" s="100">
        <v>438.23</v>
      </c>
      <c r="K313" s="101"/>
    </row>
    <row r="314" spans="1:75" ht="13.5" customHeight="1">
      <c r="A314" s="92" t="s">
        <v>581</v>
      </c>
      <c r="B314" s="10" t="s">
        <v>582</v>
      </c>
      <c r="C314" s="8" t="s">
        <v>583</v>
      </c>
      <c r="D314" s="8"/>
      <c r="E314" s="10" t="s">
        <v>302</v>
      </c>
      <c r="F314" s="93">
        <v>33.71</v>
      </c>
      <c r="G314" s="93">
        <v>0</v>
      </c>
      <c r="H314" s="93">
        <f>F314*G314</f>
        <v>0</v>
      </c>
      <c r="I314" s="93">
        <v>0</v>
      </c>
      <c r="J314" s="93">
        <f>F314*I314</f>
        <v>0</v>
      </c>
      <c r="K314" s="94" t="s">
        <v>120</v>
      </c>
      <c r="Z314" s="93">
        <f>IF(AQ314="5",BJ314,0)</f>
        <v>0</v>
      </c>
      <c r="AB314" s="93">
        <f>IF(AQ314="1",BH314,0)</f>
        <v>0</v>
      </c>
      <c r="AC314" s="93">
        <f>IF(AQ314="1",BI314,0)</f>
        <v>0</v>
      </c>
      <c r="AD314" s="93">
        <f>IF(AQ314="7",BH314,0)</f>
        <v>0</v>
      </c>
      <c r="AE314" s="93">
        <f>IF(AQ314="7",BI314,0)</f>
        <v>0</v>
      </c>
      <c r="AF314" s="93">
        <f>IF(AQ314="2",BH314,0)</f>
        <v>0</v>
      </c>
      <c r="AG314" s="93">
        <f>IF(AQ314="2",BI314,0)</f>
        <v>0</v>
      </c>
      <c r="AH314" s="93">
        <f>IF(AQ314="0",BJ314,0)</f>
        <v>0</v>
      </c>
      <c r="AI314" s="71"/>
      <c r="AJ314" s="93">
        <f>IF(AN314=0,H314,0)</f>
        <v>0</v>
      </c>
      <c r="AK314" s="93">
        <f>IF(AN314=12,H314,0)</f>
        <v>0</v>
      </c>
      <c r="AL314" s="93">
        <f>IF(AN314=21,H314,0)</f>
        <v>0</v>
      </c>
      <c r="AN314" s="93">
        <v>21</v>
      </c>
      <c r="AO314" s="93">
        <f>G314*0</f>
        <v>0</v>
      </c>
      <c r="AP314" s="93">
        <f>G314*(1-0)</f>
        <v>0</v>
      </c>
      <c r="AQ314" s="95" t="s">
        <v>142</v>
      </c>
      <c r="AV314" s="93">
        <f>AW314+AX314</f>
        <v>0</v>
      </c>
      <c r="AW314" s="93">
        <f>F314*AO314</f>
        <v>0</v>
      </c>
      <c r="AX314" s="93">
        <f>F314*AP314</f>
        <v>0</v>
      </c>
      <c r="AY314" s="95" t="s">
        <v>567</v>
      </c>
      <c r="AZ314" s="95" t="s">
        <v>460</v>
      </c>
      <c r="BA314" s="71" t="s">
        <v>123</v>
      </c>
      <c r="BC314" s="93">
        <f>AW314+AX314</f>
        <v>0</v>
      </c>
      <c r="BD314" s="93">
        <f>G314/(100-BE314)*100</f>
        <v>0</v>
      </c>
      <c r="BE314" s="93">
        <v>0</v>
      </c>
      <c r="BF314" s="93">
        <f>J314</f>
        <v>0</v>
      </c>
      <c r="BH314" s="93">
        <f>F314*AO314</f>
        <v>0</v>
      </c>
      <c r="BI314" s="93">
        <f>F314*AP314</f>
        <v>0</v>
      </c>
      <c r="BJ314" s="93">
        <f>F314*G314</f>
        <v>0</v>
      </c>
      <c r="BK314" s="93"/>
      <c r="BL314" s="93"/>
      <c r="BW314" s="93">
        <v>21</v>
      </c>
    </row>
    <row r="315" spans="1:11" ht="15">
      <c r="A315" s="96"/>
      <c r="C315" s="98" t="s">
        <v>576</v>
      </c>
      <c r="D315" s="99"/>
      <c r="F315" s="100">
        <v>33.71</v>
      </c>
      <c r="K315" s="101"/>
    </row>
    <row r="316" spans="1:75" ht="13.5" customHeight="1">
      <c r="A316" s="92" t="s">
        <v>584</v>
      </c>
      <c r="B316" s="10" t="s">
        <v>585</v>
      </c>
      <c r="C316" s="8" t="s">
        <v>586</v>
      </c>
      <c r="D316" s="8"/>
      <c r="E316" s="10" t="s">
        <v>302</v>
      </c>
      <c r="F316" s="93">
        <v>101.13</v>
      </c>
      <c r="G316" s="93">
        <v>0</v>
      </c>
      <c r="H316" s="93">
        <f>F316*G316</f>
        <v>0</v>
      </c>
      <c r="I316" s="93">
        <v>0</v>
      </c>
      <c r="J316" s="93">
        <f>F316*I316</f>
        <v>0</v>
      </c>
      <c r="K316" s="94" t="s">
        <v>120</v>
      </c>
      <c r="Z316" s="93">
        <f>IF(AQ316="5",BJ316,0)</f>
        <v>0</v>
      </c>
      <c r="AB316" s="93">
        <f>IF(AQ316="1",BH316,0)</f>
        <v>0</v>
      </c>
      <c r="AC316" s="93">
        <f>IF(AQ316="1",BI316,0)</f>
        <v>0</v>
      </c>
      <c r="AD316" s="93">
        <f>IF(AQ316="7",BH316,0)</f>
        <v>0</v>
      </c>
      <c r="AE316" s="93">
        <f>IF(AQ316="7",BI316,0)</f>
        <v>0</v>
      </c>
      <c r="AF316" s="93">
        <f>IF(AQ316="2",BH316,0)</f>
        <v>0</v>
      </c>
      <c r="AG316" s="93">
        <f>IF(AQ316="2",BI316,0)</f>
        <v>0</v>
      </c>
      <c r="AH316" s="93">
        <f>IF(AQ316="0",BJ316,0)</f>
        <v>0</v>
      </c>
      <c r="AI316" s="71"/>
      <c r="AJ316" s="93">
        <f>IF(AN316=0,H316,0)</f>
        <v>0</v>
      </c>
      <c r="AK316" s="93">
        <f>IF(AN316=12,H316,0)</f>
        <v>0</v>
      </c>
      <c r="AL316" s="93">
        <f>IF(AN316=21,H316,0)</f>
        <v>0</v>
      </c>
      <c r="AN316" s="93">
        <v>21</v>
      </c>
      <c r="AO316" s="93">
        <f>G316*0</f>
        <v>0</v>
      </c>
      <c r="AP316" s="93">
        <f>G316*(1-0)</f>
        <v>0</v>
      </c>
      <c r="AQ316" s="95" t="s">
        <v>142</v>
      </c>
      <c r="AV316" s="93">
        <f>AW316+AX316</f>
        <v>0</v>
      </c>
      <c r="AW316" s="93">
        <f>F316*AO316</f>
        <v>0</v>
      </c>
      <c r="AX316" s="93">
        <f>F316*AP316</f>
        <v>0</v>
      </c>
      <c r="AY316" s="95" t="s">
        <v>567</v>
      </c>
      <c r="AZ316" s="95" t="s">
        <v>460</v>
      </c>
      <c r="BA316" s="71" t="s">
        <v>123</v>
      </c>
      <c r="BC316" s="93">
        <f>AW316+AX316</f>
        <v>0</v>
      </c>
      <c r="BD316" s="93">
        <f>G316/(100-BE316)*100</f>
        <v>0</v>
      </c>
      <c r="BE316" s="93">
        <v>0</v>
      </c>
      <c r="BF316" s="93">
        <f>J316</f>
        <v>0</v>
      </c>
      <c r="BH316" s="93">
        <f>F316*AO316</f>
        <v>0</v>
      </c>
      <c r="BI316" s="93">
        <f>F316*AP316</f>
        <v>0</v>
      </c>
      <c r="BJ316" s="93">
        <f>F316*G316</f>
        <v>0</v>
      </c>
      <c r="BK316" s="93"/>
      <c r="BL316" s="93"/>
      <c r="BW316" s="93">
        <v>21</v>
      </c>
    </row>
    <row r="317" spans="1:11" ht="15">
      <c r="A317" s="96"/>
      <c r="C317" s="98" t="s">
        <v>587</v>
      </c>
      <c r="D317" s="99"/>
      <c r="F317" s="100">
        <v>101.13</v>
      </c>
      <c r="K317" s="101"/>
    </row>
    <row r="318" spans="1:75" ht="13.5" customHeight="1">
      <c r="A318" s="92" t="s">
        <v>588</v>
      </c>
      <c r="B318" s="10" t="s">
        <v>589</v>
      </c>
      <c r="C318" s="8" t="s">
        <v>590</v>
      </c>
      <c r="D318" s="8"/>
      <c r="E318" s="10" t="s">
        <v>302</v>
      </c>
      <c r="F318" s="93">
        <v>33.71</v>
      </c>
      <c r="G318" s="93">
        <v>0</v>
      </c>
      <c r="H318" s="93">
        <f>F318*G318</f>
        <v>0</v>
      </c>
      <c r="I318" s="93">
        <v>0</v>
      </c>
      <c r="J318" s="93">
        <f>F318*I318</f>
        <v>0</v>
      </c>
      <c r="K318" s="94" t="s">
        <v>120</v>
      </c>
      <c r="Z318" s="93">
        <f>IF(AQ318="5",BJ318,0)</f>
        <v>0</v>
      </c>
      <c r="AB318" s="93">
        <f>IF(AQ318="1",BH318,0)</f>
        <v>0</v>
      </c>
      <c r="AC318" s="93">
        <f>IF(AQ318="1",BI318,0)</f>
        <v>0</v>
      </c>
      <c r="AD318" s="93">
        <f>IF(AQ318="7",BH318,0)</f>
        <v>0</v>
      </c>
      <c r="AE318" s="93">
        <f>IF(AQ318="7",BI318,0)</f>
        <v>0</v>
      </c>
      <c r="AF318" s="93">
        <f>IF(AQ318="2",BH318,0)</f>
        <v>0</v>
      </c>
      <c r="AG318" s="93">
        <f>IF(AQ318="2",BI318,0)</f>
        <v>0</v>
      </c>
      <c r="AH318" s="93">
        <f>IF(AQ318="0",BJ318,0)</f>
        <v>0</v>
      </c>
      <c r="AI318" s="71"/>
      <c r="AJ318" s="93">
        <f>IF(AN318=0,H318,0)</f>
        <v>0</v>
      </c>
      <c r="AK318" s="93">
        <f>IF(AN318=12,H318,0)</f>
        <v>0</v>
      </c>
      <c r="AL318" s="93">
        <f>IF(AN318=21,H318,0)</f>
        <v>0</v>
      </c>
      <c r="AN318" s="93">
        <v>21</v>
      </c>
      <c r="AO318" s="93">
        <f>G318*0</f>
        <v>0</v>
      </c>
      <c r="AP318" s="93">
        <f>G318*(1-0)</f>
        <v>0</v>
      </c>
      <c r="AQ318" s="95" t="s">
        <v>142</v>
      </c>
      <c r="AV318" s="93">
        <f>AW318+AX318</f>
        <v>0</v>
      </c>
      <c r="AW318" s="93">
        <f>F318*AO318</f>
        <v>0</v>
      </c>
      <c r="AX318" s="93">
        <f>F318*AP318</f>
        <v>0</v>
      </c>
      <c r="AY318" s="95" t="s">
        <v>567</v>
      </c>
      <c r="AZ318" s="95" t="s">
        <v>460</v>
      </c>
      <c r="BA318" s="71" t="s">
        <v>123</v>
      </c>
      <c r="BC318" s="93">
        <f>AW318+AX318</f>
        <v>0</v>
      </c>
      <c r="BD318" s="93">
        <f>G318/(100-BE318)*100</f>
        <v>0</v>
      </c>
      <c r="BE318" s="93">
        <v>0</v>
      </c>
      <c r="BF318" s="93">
        <f>J318</f>
        <v>0</v>
      </c>
      <c r="BH318" s="93">
        <f>F318*AO318</f>
        <v>0</v>
      </c>
      <c r="BI318" s="93">
        <f>F318*AP318</f>
        <v>0</v>
      </c>
      <c r="BJ318" s="93">
        <f>F318*G318</f>
        <v>0</v>
      </c>
      <c r="BK318" s="93"/>
      <c r="BL318" s="93"/>
      <c r="BW318" s="93">
        <v>21</v>
      </c>
    </row>
    <row r="319" spans="1:11" ht="15">
      <c r="A319" s="96"/>
      <c r="C319" s="98" t="s">
        <v>576</v>
      </c>
      <c r="D319" s="99"/>
      <c r="F319" s="100">
        <v>33.71</v>
      </c>
      <c r="K319" s="101"/>
    </row>
    <row r="320" spans="1:75" ht="13.5" customHeight="1">
      <c r="A320" s="92" t="s">
        <v>591</v>
      </c>
      <c r="B320" s="10" t="s">
        <v>592</v>
      </c>
      <c r="C320" s="8" t="s">
        <v>593</v>
      </c>
      <c r="D320" s="8"/>
      <c r="E320" s="10" t="s">
        <v>302</v>
      </c>
      <c r="F320" s="93">
        <v>8.8</v>
      </c>
      <c r="G320" s="93">
        <v>0</v>
      </c>
      <c r="H320" s="93">
        <f>F320*G320</f>
        <v>0</v>
      </c>
      <c r="I320" s="93">
        <v>0</v>
      </c>
      <c r="J320" s="93">
        <f>F320*I320</f>
        <v>0</v>
      </c>
      <c r="K320" s="94" t="s">
        <v>120</v>
      </c>
      <c r="Z320" s="93">
        <f>IF(AQ320="5",BJ320,0)</f>
        <v>0</v>
      </c>
      <c r="AB320" s="93">
        <f>IF(AQ320="1",BH320,0)</f>
        <v>0</v>
      </c>
      <c r="AC320" s="93">
        <f>IF(AQ320="1",BI320,0)</f>
        <v>0</v>
      </c>
      <c r="AD320" s="93">
        <f>IF(AQ320="7",BH320,0)</f>
        <v>0</v>
      </c>
      <c r="AE320" s="93">
        <f>IF(AQ320="7",BI320,0)</f>
        <v>0</v>
      </c>
      <c r="AF320" s="93">
        <f>IF(AQ320="2",BH320,0)</f>
        <v>0</v>
      </c>
      <c r="AG320" s="93">
        <f>IF(AQ320="2",BI320,0)</f>
        <v>0</v>
      </c>
      <c r="AH320" s="93">
        <f>IF(AQ320="0",BJ320,0)</f>
        <v>0</v>
      </c>
      <c r="AI320" s="71"/>
      <c r="AJ320" s="93">
        <f>IF(AN320=0,H320,0)</f>
        <v>0</v>
      </c>
      <c r="AK320" s="93">
        <f>IF(AN320=12,H320,0)</f>
        <v>0</v>
      </c>
      <c r="AL320" s="93">
        <f>IF(AN320=21,H320,0)</f>
        <v>0</v>
      </c>
      <c r="AN320" s="93">
        <v>21</v>
      </c>
      <c r="AO320" s="93">
        <f>G320*0</f>
        <v>0</v>
      </c>
      <c r="AP320" s="93">
        <f>G320*(1-0)</f>
        <v>0</v>
      </c>
      <c r="AQ320" s="95" t="s">
        <v>142</v>
      </c>
      <c r="AV320" s="93">
        <f>AW320+AX320</f>
        <v>0</v>
      </c>
      <c r="AW320" s="93">
        <f>F320*AO320</f>
        <v>0</v>
      </c>
      <c r="AX320" s="93">
        <f>F320*AP320</f>
        <v>0</v>
      </c>
      <c r="AY320" s="95" t="s">
        <v>567</v>
      </c>
      <c r="AZ320" s="95" t="s">
        <v>460</v>
      </c>
      <c r="BA320" s="71" t="s">
        <v>123</v>
      </c>
      <c r="BC320" s="93">
        <f>AW320+AX320</f>
        <v>0</v>
      </c>
      <c r="BD320" s="93">
        <f>G320/(100-BE320)*100</f>
        <v>0</v>
      </c>
      <c r="BE320" s="93">
        <v>0</v>
      </c>
      <c r="BF320" s="93">
        <f>J320</f>
        <v>0</v>
      </c>
      <c r="BH320" s="93">
        <f>F320*AO320</f>
        <v>0</v>
      </c>
      <c r="BI320" s="93">
        <f>F320*AP320</f>
        <v>0</v>
      </c>
      <c r="BJ320" s="93">
        <f>F320*G320</f>
        <v>0</v>
      </c>
      <c r="BK320" s="93"/>
      <c r="BL320" s="93"/>
      <c r="BW320" s="93">
        <v>21</v>
      </c>
    </row>
    <row r="321" spans="1:11" ht="15">
      <c r="A321" s="96"/>
      <c r="C321" s="98" t="s">
        <v>594</v>
      </c>
      <c r="D321" s="99"/>
      <c r="F321" s="100">
        <v>8.8</v>
      </c>
      <c r="K321" s="101"/>
    </row>
    <row r="322" spans="1:75" ht="27" customHeight="1">
      <c r="A322" s="92" t="s">
        <v>595</v>
      </c>
      <c r="B322" s="10" t="s">
        <v>596</v>
      </c>
      <c r="C322" s="8" t="s">
        <v>597</v>
      </c>
      <c r="D322" s="8"/>
      <c r="E322" s="10" t="s">
        <v>302</v>
      </c>
      <c r="F322" s="93">
        <v>24.8</v>
      </c>
      <c r="G322" s="93">
        <v>0</v>
      </c>
      <c r="H322" s="93">
        <f>F322*G322</f>
        <v>0</v>
      </c>
      <c r="I322" s="93">
        <v>0</v>
      </c>
      <c r="J322" s="93">
        <f>F322*I322</f>
        <v>0</v>
      </c>
      <c r="K322" s="94" t="s">
        <v>120</v>
      </c>
      <c r="Z322" s="93">
        <f>IF(AQ322="5",BJ322,0)</f>
        <v>0</v>
      </c>
      <c r="AB322" s="93">
        <f>IF(AQ322="1",BH322,0)</f>
        <v>0</v>
      </c>
      <c r="AC322" s="93">
        <f>IF(AQ322="1",BI322,0)</f>
        <v>0</v>
      </c>
      <c r="AD322" s="93">
        <f>IF(AQ322="7",BH322,0)</f>
        <v>0</v>
      </c>
      <c r="AE322" s="93">
        <f>IF(AQ322="7",BI322,0)</f>
        <v>0</v>
      </c>
      <c r="AF322" s="93">
        <f>IF(AQ322="2",BH322,0)</f>
        <v>0</v>
      </c>
      <c r="AG322" s="93">
        <f>IF(AQ322="2",BI322,0)</f>
        <v>0</v>
      </c>
      <c r="AH322" s="93">
        <f>IF(AQ322="0",BJ322,0)</f>
        <v>0</v>
      </c>
      <c r="AI322" s="71"/>
      <c r="AJ322" s="93">
        <f>IF(AN322=0,H322,0)</f>
        <v>0</v>
      </c>
      <c r="AK322" s="93">
        <f>IF(AN322=12,H322,0)</f>
        <v>0</v>
      </c>
      <c r="AL322" s="93">
        <f>IF(AN322=21,H322,0)</f>
        <v>0</v>
      </c>
      <c r="AN322" s="93">
        <v>21</v>
      </c>
      <c r="AO322" s="93">
        <f>G322*0</f>
        <v>0</v>
      </c>
      <c r="AP322" s="93">
        <f>G322*(1-0)</f>
        <v>0</v>
      </c>
      <c r="AQ322" s="95" t="s">
        <v>142</v>
      </c>
      <c r="AV322" s="93">
        <f>AW322+AX322</f>
        <v>0</v>
      </c>
      <c r="AW322" s="93">
        <f>F322*AO322</f>
        <v>0</v>
      </c>
      <c r="AX322" s="93">
        <f>F322*AP322</f>
        <v>0</v>
      </c>
      <c r="AY322" s="95" t="s">
        <v>567</v>
      </c>
      <c r="AZ322" s="95" t="s">
        <v>460</v>
      </c>
      <c r="BA322" s="71" t="s">
        <v>123</v>
      </c>
      <c r="BC322" s="93">
        <f>AW322+AX322</f>
        <v>0</v>
      </c>
      <c r="BD322" s="93">
        <f>G322/(100-BE322)*100</f>
        <v>0</v>
      </c>
      <c r="BE322" s="93">
        <v>0</v>
      </c>
      <c r="BF322" s="93">
        <f>J322</f>
        <v>0</v>
      </c>
      <c r="BH322" s="93">
        <f>F322*AO322</f>
        <v>0</v>
      </c>
      <c r="BI322" s="93">
        <f>F322*AP322</f>
        <v>0</v>
      </c>
      <c r="BJ322" s="93">
        <f>F322*G322</f>
        <v>0</v>
      </c>
      <c r="BK322" s="93"/>
      <c r="BL322" s="93"/>
      <c r="BW322" s="93">
        <v>21</v>
      </c>
    </row>
    <row r="323" spans="1:11" ht="15">
      <c r="A323" s="96"/>
      <c r="C323" s="98" t="s">
        <v>598</v>
      </c>
      <c r="D323" s="99"/>
      <c r="F323" s="100">
        <v>24.8</v>
      </c>
      <c r="K323" s="101"/>
    </row>
    <row r="324" spans="1:75" ht="13.5" customHeight="1">
      <c r="A324" s="92" t="s">
        <v>599</v>
      </c>
      <c r="B324" s="10" t="s">
        <v>600</v>
      </c>
      <c r="C324" s="8" t="s">
        <v>601</v>
      </c>
      <c r="D324" s="8"/>
      <c r="E324" s="10" t="s">
        <v>302</v>
      </c>
      <c r="F324" s="93">
        <v>0.11</v>
      </c>
      <c r="G324" s="93">
        <v>0</v>
      </c>
      <c r="H324" s="93">
        <f>F324*G324</f>
        <v>0</v>
      </c>
      <c r="I324" s="93">
        <v>0</v>
      </c>
      <c r="J324" s="93">
        <f>F324*I324</f>
        <v>0</v>
      </c>
      <c r="K324" s="94" t="s">
        <v>120</v>
      </c>
      <c r="Z324" s="93">
        <f>IF(AQ324="5",BJ324,0)</f>
        <v>0</v>
      </c>
      <c r="AB324" s="93">
        <f>IF(AQ324="1",BH324,0)</f>
        <v>0</v>
      </c>
      <c r="AC324" s="93">
        <f>IF(AQ324="1",BI324,0)</f>
        <v>0</v>
      </c>
      <c r="AD324" s="93">
        <f>IF(AQ324="7",BH324,0)</f>
        <v>0</v>
      </c>
      <c r="AE324" s="93">
        <f>IF(AQ324="7",BI324,0)</f>
        <v>0</v>
      </c>
      <c r="AF324" s="93">
        <f>IF(AQ324="2",BH324,0)</f>
        <v>0</v>
      </c>
      <c r="AG324" s="93">
        <f>IF(AQ324="2",BI324,0)</f>
        <v>0</v>
      </c>
      <c r="AH324" s="93">
        <f>IF(AQ324="0",BJ324,0)</f>
        <v>0</v>
      </c>
      <c r="AI324" s="71"/>
      <c r="AJ324" s="93">
        <f>IF(AN324=0,H324,0)</f>
        <v>0</v>
      </c>
      <c r="AK324" s="93">
        <f>IF(AN324=12,H324,0)</f>
        <v>0</v>
      </c>
      <c r="AL324" s="93">
        <f>IF(AN324=21,H324,0)</f>
        <v>0</v>
      </c>
      <c r="AN324" s="93">
        <v>21</v>
      </c>
      <c r="AO324" s="93">
        <f>G324*0</f>
        <v>0</v>
      </c>
      <c r="AP324" s="93">
        <f>G324*(1-0)</f>
        <v>0</v>
      </c>
      <c r="AQ324" s="95" t="s">
        <v>142</v>
      </c>
      <c r="AV324" s="93">
        <f>AW324+AX324</f>
        <v>0</v>
      </c>
      <c r="AW324" s="93">
        <f>F324*AO324</f>
        <v>0</v>
      </c>
      <c r="AX324" s="93">
        <f>F324*AP324</f>
        <v>0</v>
      </c>
      <c r="AY324" s="95" t="s">
        <v>567</v>
      </c>
      <c r="AZ324" s="95" t="s">
        <v>460</v>
      </c>
      <c r="BA324" s="71" t="s">
        <v>123</v>
      </c>
      <c r="BC324" s="93">
        <f>AW324+AX324</f>
        <v>0</v>
      </c>
      <c r="BD324" s="93">
        <f>G324/(100-BE324)*100</f>
        <v>0</v>
      </c>
      <c r="BE324" s="93">
        <v>0</v>
      </c>
      <c r="BF324" s="93">
        <f>J324</f>
        <v>0</v>
      </c>
      <c r="BH324" s="93">
        <f>F324*AO324</f>
        <v>0</v>
      </c>
      <c r="BI324" s="93">
        <f>F324*AP324</f>
        <v>0</v>
      </c>
      <c r="BJ324" s="93">
        <f>F324*G324</f>
        <v>0</v>
      </c>
      <c r="BK324" s="93"/>
      <c r="BL324" s="93"/>
      <c r="BW324" s="93">
        <v>21</v>
      </c>
    </row>
    <row r="325" spans="1:11" ht="15">
      <c r="A325" s="96"/>
      <c r="C325" s="98" t="s">
        <v>602</v>
      </c>
      <c r="D325" s="99"/>
      <c r="F325" s="100">
        <v>0.11</v>
      </c>
      <c r="K325" s="101"/>
    </row>
    <row r="326" spans="1:35" ht="15" customHeight="1">
      <c r="A326" s="87"/>
      <c r="B326" s="88"/>
      <c r="C326" s="89" t="s">
        <v>603</v>
      </c>
      <c r="D326" s="89"/>
      <c r="E326" s="90" t="s">
        <v>79</v>
      </c>
      <c r="F326" s="90" t="s">
        <v>79</v>
      </c>
      <c r="G326" s="90" t="s">
        <v>79</v>
      </c>
      <c r="H326" s="61">
        <f>H327+H334+H338+H345</f>
        <v>0</v>
      </c>
      <c r="I326" s="71"/>
      <c r="J326" s="61">
        <f>J327+J334+J338+J345</f>
        <v>0</v>
      </c>
      <c r="K326" s="91"/>
      <c r="AI326" s="71"/>
    </row>
    <row r="327" spans="1:47" ht="15" customHeight="1">
      <c r="A327" s="87"/>
      <c r="B327" s="88" t="s">
        <v>604</v>
      </c>
      <c r="C327" s="89" t="s">
        <v>68</v>
      </c>
      <c r="D327" s="89"/>
      <c r="E327" s="90" t="s">
        <v>79</v>
      </c>
      <c r="F327" s="90" t="s">
        <v>79</v>
      </c>
      <c r="G327" s="90" t="s">
        <v>79</v>
      </c>
      <c r="H327" s="61">
        <f>SUM(H328:H331)</f>
        <v>0</v>
      </c>
      <c r="I327" s="71"/>
      <c r="J327" s="61">
        <f>SUM(J328:J331)</f>
        <v>0</v>
      </c>
      <c r="K327" s="91"/>
      <c r="AI327" s="71"/>
      <c r="AS327" s="61">
        <f>SUM(AJ328:AJ331)</f>
        <v>0</v>
      </c>
      <c r="AT327" s="61">
        <f>SUM(AK328:AK331)</f>
        <v>0</v>
      </c>
      <c r="AU327" s="61">
        <f>SUM(AL328:AL331)</f>
        <v>0</v>
      </c>
    </row>
    <row r="328" spans="1:75" ht="13.5" customHeight="1">
      <c r="A328" s="92" t="s">
        <v>605</v>
      </c>
      <c r="B328" s="10" t="s">
        <v>606</v>
      </c>
      <c r="C328" s="8" t="s">
        <v>68</v>
      </c>
      <c r="D328" s="8"/>
      <c r="E328" s="10" t="s">
        <v>607</v>
      </c>
      <c r="F328" s="93">
        <v>1</v>
      </c>
      <c r="G328" s="93">
        <v>0</v>
      </c>
      <c r="H328" s="93">
        <f>F328*G328</f>
        <v>0</v>
      </c>
      <c r="I328" s="93">
        <v>0</v>
      </c>
      <c r="J328" s="93">
        <f>F328*I328</f>
        <v>0</v>
      </c>
      <c r="K328" s="94"/>
      <c r="Z328" s="93">
        <f>IF(AQ328="5",BJ328,0)</f>
        <v>0</v>
      </c>
      <c r="AB328" s="93">
        <f>IF(AQ328="1",BH328,0)</f>
        <v>0</v>
      </c>
      <c r="AC328" s="93">
        <f>IF(AQ328="1",BI328,0)</f>
        <v>0</v>
      </c>
      <c r="AD328" s="93">
        <f>IF(AQ328="7",BH328,0)</f>
        <v>0</v>
      </c>
      <c r="AE328" s="93">
        <f>IF(AQ328="7",BI328,0)</f>
        <v>0</v>
      </c>
      <c r="AF328" s="93">
        <f>IF(AQ328="2",BH328,0)</f>
        <v>0</v>
      </c>
      <c r="AG328" s="93">
        <f>IF(AQ328="2",BI328,0)</f>
        <v>0</v>
      </c>
      <c r="AH328" s="93">
        <f>IF(AQ328="0",BJ328,0)</f>
        <v>0</v>
      </c>
      <c r="AI328" s="71"/>
      <c r="AJ328" s="93">
        <f>IF(AN328=0,H328,0)</f>
        <v>0</v>
      </c>
      <c r="AK328" s="93">
        <f>IF(AN328=12,H328,0)</f>
        <v>0</v>
      </c>
      <c r="AL328" s="93">
        <f>IF(AN328=21,H328,0)</f>
        <v>0</v>
      </c>
      <c r="AN328" s="93">
        <v>21</v>
      </c>
      <c r="AO328" s="93">
        <f>G328*0</f>
        <v>0</v>
      </c>
      <c r="AP328" s="93">
        <f>G328*(1-0)</f>
        <v>0</v>
      </c>
      <c r="AQ328" s="95" t="s">
        <v>608</v>
      </c>
      <c r="AV328" s="93">
        <f>AW328+AX328</f>
        <v>0</v>
      </c>
      <c r="AW328" s="93">
        <f>F328*AO328</f>
        <v>0</v>
      </c>
      <c r="AX328" s="93">
        <f>F328*AP328</f>
        <v>0</v>
      </c>
      <c r="AY328" s="95" t="s">
        <v>609</v>
      </c>
      <c r="AZ328" s="95" t="s">
        <v>610</v>
      </c>
      <c r="BA328" s="71" t="s">
        <v>123</v>
      </c>
      <c r="BC328" s="93">
        <f>AW328+AX328</f>
        <v>0</v>
      </c>
      <c r="BD328" s="93">
        <f>G328/(100-BE328)*100</f>
        <v>0</v>
      </c>
      <c r="BE328" s="93">
        <v>0</v>
      </c>
      <c r="BF328" s="93">
        <f>J328</f>
        <v>0</v>
      </c>
      <c r="BH328" s="93">
        <f>F328*AO328</f>
        <v>0</v>
      </c>
      <c r="BI328" s="93">
        <f>F328*AP328</f>
        <v>0</v>
      </c>
      <c r="BJ328" s="93">
        <f>F328*G328</f>
        <v>0</v>
      </c>
      <c r="BK328" s="93"/>
      <c r="BL328" s="93"/>
      <c r="BM328" s="93">
        <f>F328*G328</f>
        <v>0</v>
      </c>
      <c r="BW328" s="93">
        <v>21</v>
      </c>
    </row>
    <row r="329" spans="1:11" ht="27" customHeight="1">
      <c r="A329" s="96"/>
      <c r="C329" s="97" t="s">
        <v>611</v>
      </c>
      <c r="D329" s="97"/>
      <c r="E329" s="97"/>
      <c r="F329" s="97"/>
      <c r="G329" s="97"/>
      <c r="H329" s="97"/>
      <c r="I329" s="97"/>
      <c r="J329" s="97"/>
      <c r="K329" s="97"/>
    </row>
    <row r="330" spans="1:11" ht="15">
      <c r="A330" s="96"/>
      <c r="C330" s="98" t="s">
        <v>116</v>
      </c>
      <c r="D330" s="99"/>
      <c r="F330" s="100">
        <v>1</v>
      </c>
      <c r="K330" s="101"/>
    </row>
    <row r="331" spans="1:75" ht="13.5" customHeight="1">
      <c r="A331" s="92" t="s">
        <v>612</v>
      </c>
      <c r="B331" s="10" t="s">
        <v>613</v>
      </c>
      <c r="C331" s="8" t="s">
        <v>614</v>
      </c>
      <c r="D331" s="8"/>
      <c r="E331" s="10" t="s">
        <v>607</v>
      </c>
      <c r="F331" s="93">
        <v>1</v>
      </c>
      <c r="G331" s="93">
        <v>0</v>
      </c>
      <c r="H331" s="93">
        <f>F331*G331</f>
        <v>0</v>
      </c>
      <c r="I331" s="93">
        <v>0</v>
      </c>
      <c r="J331" s="93">
        <f>F331*I331</f>
        <v>0</v>
      </c>
      <c r="K331" s="94"/>
      <c r="Z331" s="93">
        <f>IF(AQ331="5",BJ331,0)</f>
        <v>0</v>
      </c>
      <c r="AB331" s="93">
        <f>IF(AQ331="1",BH331,0)</f>
        <v>0</v>
      </c>
      <c r="AC331" s="93">
        <f>IF(AQ331="1",BI331,0)</f>
        <v>0</v>
      </c>
      <c r="AD331" s="93">
        <f>IF(AQ331="7",BH331,0)</f>
        <v>0</v>
      </c>
      <c r="AE331" s="93">
        <f>IF(AQ331="7",BI331,0)</f>
        <v>0</v>
      </c>
      <c r="AF331" s="93">
        <f>IF(AQ331="2",BH331,0)</f>
        <v>0</v>
      </c>
      <c r="AG331" s="93">
        <f>IF(AQ331="2",BI331,0)</f>
        <v>0</v>
      </c>
      <c r="AH331" s="93">
        <f>IF(AQ331="0",BJ331,0)</f>
        <v>0</v>
      </c>
      <c r="AI331" s="71"/>
      <c r="AJ331" s="93">
        <f>IF(AN331=0,H331,0)</f>
        <v>0</v>
      </c>
      <c r="AK331" s="93">
        <f>IF(AN331=12,H331,0)</f>
        <v>0</v>
      </c>
      <c r="AL331" s="93">
        <f>IF(AN331=21,H331,0)</f>
        <v>0</v>
      </c>
      <c r="AN331" s="93">
        <v>21</v>
      </c>
      <c r="AO331" s="93">
        <f>G331*0</f>
        <v>0</v>
      </c>
      <c r="AP331" s="93">
        <f>G331*(1-0)</f>
        <v>0</v>
      </c>
      <c r="AQ331" s="95" t="s">
        <v>608</v>
      </c>
      <c r="AV331" s="93">
        <f>AW331+AX331</f>
        <v>0</v>
      </c>
      <c r="AW331" s="93">
        <f>F331*AO331</f>
        <v>0</v>
      </c>
      <c r="AX331" s="93">
        <f>F331*AP331</f>
        <v>0</v>
      </c>
      <c r="AY331" s="95" t="s">
        <v>609</v>
      </c>
      <c r="AZ331" s="95" t="s">
        <v>610</v>
      </c>
      <c r="BA331" s="71" t="s">
        <v>123</v>
      </c>
      <c r="BC331" s="93">
        <f>AW331+AX331</f>
        <v>0</v>
      </c>
      <c r="BD331" s="93">
        <f>G331/(100-BE331)*100</f>
        <v>0</v>
      </c>
      <c r="BE331" s="93">
        <v>0</v>
      </c>
      <c r="BF331" s="93">
        <f>J331</f>
        <v>0</v>
      </c>
      <c r="BH331" s="93">
        <f>F331*AO331</f>
        <v>0</v>
      </c>
      <c r="BI331" s="93">
        <f>F331*AP331</f>
        <v>0</v>
      </c>
      <c r="BJ331" s="93">
        <f>F331*G331</f>
        <v>0</v>
      </c>
      <c r="BK331" s="93"/>
      <c r="BL331" s="93"/>
      <c r="BM331" s="93">
        <f>F331*G331</f>
        <v>0</v>
      </c>
      <c r="BW331" s="93">
        <v>21</v>
      </c>
    </row>
    <row r="332" spans="1:11" ht="13.5" customHeight="1">
      <c r="A332" s="96"/>
      <c r="C332" s="97" t="s">
        <v>615</v>
      </c>
      <c r="D332" s="97"/>
      <c r="E332" s="97"/>
      <c r="F332" s="97"/>
      <c r="G332" s="97"/>
      <c r="H332" s="97"/>
      <c r="I332" s="97"/>
      <c r="J332" s="97"/>
      <c r="K332" s="97"/>
    </row>
    <row r="333" spans="1:11" ht="15">
      <c r="A333" s="96"/>
      <c r="C333" s="98" t="s">
        <v>116</v>
      </c>
      <c r="D333" s="99"/>
      <c r="F333" s="100">
        <v>1</v>
      </c>
      <c r="K333" s="101"/>
    </row>
    <row r="334" spans="1:47" ht="15" customHeight="1">
      <c r="A334" s="87"/>
      <c r="B334" s="88" t="s">
        <v>616</v>
      </c>
      <c r="C334" s="89" t="s">
        <v>24</v>
      </c>
      <c r="D334" s="89"/>
      <c r="E334" s="90" t="s">
        <v>79</v>
      </c>
      <c r="F334" s="90" t="s">
        <v>79</v>
      </c>
      <c r="G334" s="90" t="s">
        <v>79</v>
      </c>
      <c r="H334" s="61">
        <f>SUM(H335:H335)</f>
        <v>0</v>
      </c>
      <c r="I334" s="71"/>
      <c r="J334" s="61">
        <f>SUM(J335:J335)</f>
        <v>0</v>
      </c>
      <c r="K334" s="91"/>
      <c r="AI334" s="71"/>
      <c r="AS334" s="61">
        <f>SUM(AJ335:AJ335)</f>
        <v>0</v>
      </c>
      <c r="AT334" s="61">
        <f>SUM(AK335:AK335)</f>
        <v>0</v>
      </c>
      <c r="AU334" s="61">
        <f>SUM(AL335:AL335)</f>
        <v>0</v>
      </c>
    </row>
    <row r="335" spans="1:75" ht="13.5" customHeight="1">
      <c r="A335" s="92" t="s">
        <v>617</v>
      </c>
      <c r="B335" s="10" t="s">
        <v>618</v>
      </c>
      <c r="C335" s="8" t="s">
        <v>24</v>
      </c>
      <c r="D335" s="8"/>
      <c r="E335" s="10" t="s">
        <v>607</v>
      </c>
      <c r="F335" s="93">
        <v>1</v>
      </c>
      <c r="G335" s="93">
        <v>0</v>
      </c>
      <c r="H335" s="93">
        <f>F335*G335</f>
        <v>0</v>
      </c>
      <c r="I335" s="93">
        <v>0</v>
      </c>
      <c r="J335" s="93">
        <f>F335*I335</f>
        <v>0</v>
      </c>
      <c r="K335" s="94"/>
      <c r="Z335" s="93">
        <f>IF(AQ335="5",BJ335,0)</f>
        <v>0</v>
      </c>
      <c r="AB335" s="93">
        <f>IF(AQ335="1",BH335,0)</f>
        <v>0</v>
      </c>
      <c r="AC335" s="93">
        <f>IF(AQ335="1",BI335,0)</f>
        <v>0</v>
      </c>
      <c r="AD335" s="93">
        <f>IF(AQ335="7",BH335,0)</f>
        <v>0</v>
      </c>
      <c r="AE335" s="93">
        <f>IF(AQ335="7",BI335,0)</f>
        <v>0</v>
      </c>
      <c r="AF335" s="93">
        <f>IF(AQ335="2",BH335,0)</f>
        <v>0</v>
      </c>
      <c r="AG335" s="93">
        <f>IF(AQ335="2",BI335,0)</f>
        <v>0</v>
      </c>
      <c r="AH335" s="93">
        <f>IF(AQ335="0",BJ335,0)</f>
        <v>0</v>
      </c>
      <c r="AI335" s="71"/>
      <c r="AJ335" s="93">
        <f>IF(AN335=0,H335,0)</f>
        <v>0</v>
      </c>
      <c r="AK335" s="93">
        <f>IF(AN335=12,H335,0)</f>
        <v>0</v>
      </c>
      <c r="AL335" s="93">
        <f>IF(AN335=21,H335,0)</f>
        <v>0</v>
      </c>
      <c r="AN335" s="93">
        <v>21</v>
      </c>
      <c r="AO335" s="93">
        <f>G335*0</f>
        <v>0</v>
      </c>
      <c r="AP335" s="93">
        <f>G335*(1-0)</f>
        <v>0</v>
      </c>
      <c r="AQ335" s="95" t="s">
        <v>608</v>
      </c>
      <c r="AV335" s="93">
        <f>AW335+AX335</f>
        <v>0</v>
      </c>
      <c r="AW335" s="93">
        <f>F335*AO335</f>
        <v>0</v>
      </c>
      <c r="AX335" s="93">
        <f>F335*AP335</f>
        <v>0</v>
      </c>
      <c r="AY335" s="95" t="s">
        <v>619</v>
      </c>
      <c r="AZ335" s="95" t="s">
        <v>610</v>
      </c>
      <c r="BA335" s="71" t="s">
        <v>123</v>
      </c>
      <c r="BC335" s="93">
        <f>AW335+AX335</f>
        <v>0</v>
      </c>
      <c r="BD335" s="93">
        <f>G335/(100-BE335)*100</f>
        <v>0</v>
      </c>
      <c r="BE335" s="93">
        <v>0</v>
      </c>
      <c r="BF335" s="93">
        <f>J335</f>
        <v>0</v>
      </c>
      <c r="BH335" s="93">
        <f>F335*AO335</f>
        <v>0</v>
      </c>
      <c r="BI335" s="93">
        <f>F335*AP335</f>
        <v>0</v>
      </c>
      <c r="BJ335" s="93">
        <f>F335*G335</f>
        <v>0</v>
      </c>
      <c r="BK335" s="93"/>
      <c r="BL335" s="93"/>
      <c r="BO335" s="93">
        <f>F335*G335</f>
        <v>0</v>
      </c>
      <c r="BW335" s="93">
        <v>21</v>
      </c>
    </row>
    <row r="336" spans="1:11" ht="54" customHeight="1">
      <c r="A336" s="96"/>
      <c r="C336" s="97" t="s">
        <v>620</v>
      </c>
      <c r="D336" s="97"/>
      <c r="E336" s="97"/>
      <c r="F336" s="97"/>
      <c r="G336" s="97"/>
      <c r="H336" s="97"/>
      <c r="I336" s="97"/>
      <c r="J336" s="97"/>
      <c r="K336" s="97"/>
    </row>
    <row r="337" spans="1:11" ht="15">
      <c r="A337" s="96"/>
      <c r="C337" s="98" t="s">
        <v>116</v>
      </c>
      <c r="D337" s="99"/>
      <c r="F337" s="100">
        <v>1</v>
      </c>
      <c r="K337" s="101"/>
    </row>
    <row r="338" spans="1:47" ht="15" customHeight="1">
      <c r="A338" s="87"/>
      <c r="B338" s="88" t="s">
        <v>621</v>
      </c>
      <c r="C338" s="89" t="s">
        <v>71</v>
      </c>
      <c r="D338" s="89"/>
      <c r="E338" s="90" t="s">
        <v>79</v>
      </c>
      <c r="F338" s="90" t="s">
        <v>79</v>
      </c>
      <c r="G338" s="90" t="s">
        <v>79</v>
      </c>
      <c r="H338" s="61">
        <f>SUM(H339:H342)</f>
        <v>0</v>
      </c>
      <c r="I338" s="71"/>
      <c r="J338" s="61">
        <f>SUM(J339:J342)</f>
        <v>0</v>
      </c>
      <c r="K338" s="91"/>
      <c r="AI338" s="71"/>
      <c r="AS338" s="61">
        <f>SUM(AJ339:AJ342)</f>
        <v>0</v>
      </c>
      <c r="AT338" s="61">
        <f>SUM(AK339:AK342)</f>
        <v>0</v>
      </c>
      <c r="AU338" s="61">
        <f>SUM(AL339:AL342)</f>
        <v>0</v>
      </c>
    </row>
    <row r="339" spans="1:75" ht="13.5" customHeight="1">
      <c r="A339" s="92" t="s">
        <v>622</v>
      </c>
      <c r="B339" s="10" t="s">
        <v>623</v>
      </c>
      <c r="C339" s="8" t="s">
        <v>624</v>
      </c>
      <c r="D339" s="8"/>
      <c r="E339" s="10" t="s">
        <v>607</v>
      </c>
      <c r="F339" s="93">
        <v>1</v>
      </c>
      <c r="G339" s="93">
        <v>0</v>
      </c>
      <c r="H339" s="93">
        <f>F339*G339</f>
        <v>0</v>
      </c>
      <c r="I339" s="93">
        <v>0</v>
      </c>
      <c r="J339" s="93">
        <f>F339*I339</f>
        <v>0</v>
      </c>
      <c r="K339" s="94"/>
      <c r="Z339" s="93">
        <f>IF(AQ339="5",BJ339,0)</f>
        <v>0</v>
      </c>
      <c r="AB339" s="93">
        <f>IF(AQ339="1",BH339,0)</f>
        <v>0</v>
      </c>
      <c r="AC339" s="93">
        <f>IF(AQ339="1",BI339,0)</f>
        <v>0</v>
      </c>
      <c r="AD339" s="93">
        <f>IF(AQ339="7",BH339,0)</f>
        <v>0</v>
      </c>
      <c r="AE339" s="93">
        <f>IF(AQ339="7",BI339,0)</f>
        <v>0</v>
      </c>
      <c r="AF339" s="93">
        <f>IF(AQ339="2",BH339,0)</f>
        <v>0</v>
      </c>
      <c r="AG339" s="93">
        <f>IF(AQ339="2",BI339,0)</f>
        <v>0</v>
      </c>
      <c r="AH339" s="93">
        <f>IF(AQ339="0",BJ339,0)</f>
        <v>0</v>
      </c>
      <c r="AI339" s="71"/>
      <c r="AJ339" s="93">
        <f>IF(AN339=0,H339,0)</f>
        <v>0</v>
      </c>
      <c r="AK339" s="93">
        <f>IF(AN339=12,H339,0)</f>
        <v>0</v>
      </c>
      <c r="AL339" s="93">
        <f>IF(AN339=21,H339,0)</f>
        <v>0</v>
      </c>
      <c r="AN339" s="93">
        <v>21</v>
      </c>
      <c r="AO339" s="93">
        <f>G339*0</f>
        <v>0</v>
      </c>
      <c r="AP339" s="93">
        <f>G339*(1-0)</f>
        <v>0</v>
      </c>
      <c r="AQ339" s="95" t="s">
        <v>608</v>
      </c>
      <c r="AV339" s="93">
        <f>AW339+AX339</f>
        <v>0</v>
      </c>
      <c r="AW339" s="93">
        <f>F339*AO339</f>
        <v>0</v>
      </c>
      <c r="AX339" s="93">
        <f>F339*AP339</f>
        <v>0</v>
      </c>
      <c r="AY339" s="95" t="s">
        <v>625</v>
      </c>
      <c r="AZ339" s="95" t="s">
        <v>610</v>
      </c>
      <c r="BA339" s="71" t="s">
        <v>123</v>
      </c>
      <c r="BC339" s="93">
        <f>AW339+AX339</f>
        <v>0</v>
      </c>
      <c r="BD339" s="93">
        <f>G339/(100-BE339)*100</f>
        <v>0</v>
      </c>
      <c r="BE339" s="93">
        <v>0</v>
      </c>
      <c r="BF339" s="93">
        <f>J339</f>
        <v>0</v>
      </c>
      <c r="BH339" s="93">
        <f>F339*AO339</f>
        <v>0</v>
      </c>
      <c r="BI339" s="93">
        <f>F339*AP339</f>
        <v>0</v>
      </c>
      <c r="BJ339" s="93">
        <f>F339*G339</f>
        <v>0</v>
      </c>
      <c r="BK339" s="93"/>
      <c r="BL339" s="93"/>
      <c r="BQ339" s="93">
        <f>F339*G339</f>
        <v>0</v>
      </c>
      <c r="BW339" s="93">
        <v>21</v>
      </c>
    </row>
    <row r="340" spans="1:11" ht="13.5" customHeight="1">
      <c r="A340" s="96"/>
      <c r="C340" s="97" t="s">
        <v>626</v>
      </c>
      <c r="D340" s="97"/>
      <c r="E340" s="97"/>
      <c r="F340" s="97"/>
      <c r="G340" s="97"/>
      <c r="H340" s="97"/>
      <c r="I340" s="97"/>
      <c r="J340" s="97"/>
      <c r="K340" s="97"/>
    </row>
    <row r="341" spans="1:11" ht="15">
      <c r="A341" s="96"/>
      <c r="C341" s="98" t="s">
        <v>116</v>
      </c>
      <c r="D341" s="99"/>
      <c r="F341" s="100">
        <v>1</v>
      </c>
      <c r="K341" s="101"/>
    </row>
    <row r="342" spans="1:75" ht="13.5" customHeight="1">
      <c r="A342" s="92" t="s">
        <v>627</v>
      </c>
      <c r="B342" s="10" t="s">
        <v>628</v>
      </c>
      <c r="C342" s="8" t="s">
        <v>629</v>
      </c>
      <c r="D342" s="8"/>
      <c r="E342" s="10" t="s">
        <v>607</v>
      </c>
      <c r="F342" s="93">
        <v>1</v>
      </c>
      <c r="G342" s="93">
        <v>0</v>
      </c>
      <c r="H342" s="93">
        <f>F342*G342</f>
        <v>0</v>
      </c>
      <c r="I342" s="93">
        <v>0</v>
      </c>
      <c r="J342" s="93">
        <f>F342*I342</f>
        <v>0</v>
      </c>
      <c r="K342" s="94"/>
      <c r="Z342" s="93">
        <f>IF(AQ342="5",BJ342,0)</f>
        <v>0</v>
      </c>
      <c r="AB342" s="93">
        <f>IF(AQ342="1",BH342,0)</f>
        <v>0</v>
      </c>
      <c r="AC342" s="93">
        <f>IF(AQ342="1",BI342,0)</f>
        <v>0</v>
      </c>
      <c r="AD342" s="93">
        <f>IF(AQ342="7",BH342,0)</f>
        <v>0</v>
      </c>
      <c r="AE342" s="93">
        <f>IF(AQ342="7",BI342,0)</f>
        <v>0</v>
      </c>
      <c r="AF342" s="93">
        <f>IF(AQ342="2",BH342,0)</f>
        <v>0</v>
      </c>
      <c r="AG342" s="93">
        <f>IF(AQ342="2",BI342,0)</f>
        <v>0</v>
      </c>
      <c r="AH342" s="93">
        <f>IF(AQ342="0",BJ342,0)</f>
        <v>0</v>
      </c>
      <c r="AI342" s="71"/>
      <c r="AJ342" s="93">
        <f>IF(AN342=0,H342,0)</f>
        <v>0</v>
      </c>
      <c r="AK342" s="93">
        <f>IF(AN342=12,H342,0)</f>
        <v>0</v>
      </c>
      <c r="AL342" s="93">
        <f>IF(AN342=21,H342,0)</f>
        <v>0</v>
      </c>
      <c r="AN342" s="93">
        <v>21</v>
      </c>
      <c r="AO342" s="93">
        <f>G342*0</f>
        <v>0</v>
      </c>
      <c r="AP342" s="93">
        <f>G342*(1-0)</f>
        <v>0</v>
      </c>
      <c r="AQ342" s="95" t="s">
        <v>608</v>
      </c>
      <c r="AV342" s="93">
        <f>AW342+AX342</f>
        <v>0</v>
      </c>
      <c r="AW342" s="93">
        <f>F342*AO342</f>
        <v>0</v>
      </c>
      <c r="AX342" s="93">
        <f>F342*AP342</f>
        <v>0</v>
      </c>
      <c r="AY342" s="95" t="s">
        <v>625</v>
      </c>
      <c r="AZ342" s="95" t="s">
        <v>610</v>
      </c>
      <c r="BA342" s="71" t="s">
        <v>123</v>
      </c>
      <c r="BC342" s="93">
        <f>AW342+AX342</f>
        <v>0</v>
      </c>
      <c r="BD342" s="93">
        <f>G342/(100-BE342)*100</f>
        <v>0</v>
      </c>
      <c r="BE342" s="93">
        <v>0</v>
      </c>
      <c r="BF342" s="93">
        <f>J342</f>
        <v>0</v>
      </c>
      <c r="BH342" s="93">
        <f>F342*AO342</f>
        <v>0</v>
      </c>
      <c r="BI342" s="93">
        <f>F342*AP342</f>
        <v>0</v>
      </c>
      <c r="BJ342" s="93">
        <f>F342*G342</f>
        <v>0</v>
      </c>
      <c r="BK342" s="93"/>
      <c r="BL342" s="93"/>
      <c r="BQ342" s="93">
        <f>F342*G342</f>
        <v>0</v>
      </c>
      <c r="BW342" s="93">
        <v>21</v>
      </c>
    </row>
    <row r="343" spans="1:11" ht="13.5" customHeight="1">
      <c r="A343" s="96"/>
      <c r="C343" s="97" t="s">
        <v>630</v>
      </c>
      <c r="D343" s="97"/>
      <c r="E343" s="97"/>
      <c r="F343" s="97"/>
      <c r="G343" s="97"/>
      <c r="H343" s="97"/>
      <c r="I343" s="97"/>
      <c r="J343" s="97"/>
      <c r="K343" s="97"/>
    </row>
    <row r="344" spans="1:11" ht="15">
      <c r="A344" s="96"/>
      <c r="C344" s="98" t="s">
        <v>116</v>
      </c>
      <c r="D344" s="99"/>
      <c r="F344" s="100">
        <v>1</v>
      </c>
      <c r="K344" s="101"/>
    </row>
    <row r="345" spans="1:47" ht="15" customHeight="1">
      <c r="A345" s="87"/>
      <c r="B345" s="88" t="s">
        <v>631</v>
      </c>
      <c r="C345" s="89" t="s">
        <v>31</v>
      </c>
      <c r="D345" s="89"/>
      <c r="E345" s="90" t="s">
        <v>79</v>
      </c>
      <c r="F345" s="90" t="s">
        <v>79</v>
      </c>
      <c r="G345" s="90" t="s">
        <v>79</v>
      </c>
      <c r="H345" s="61">
        <f>SUM(H346:H346)</f>
        <v>0</v>
      </c>
      <c r="I345" s="71"/>
      <c r="J345" s="61">
        <f>SUM(J346:J346)</f>
        <v>0</v>
      </c>
      <c r="K345" s="91"/>
      <c r="AI345" s="71"/>
      <c r="AS345" s="61">
        <f>SUM(AJ346:AJ346)</f>
        <v>0</v>
      </c>
      <c r="AT345" s="61">
        <f>SUM(AK346:AK346)</f>
        <v>0</v>
      </c>
      <c r="AU345" s="61">
        <f>SUM(AL346:AL346)</f>
        <v>0</v>
      </c>
    </row>
    <row r="346" spans="1:75" ht="13.5" customHeight="1">
      <c r="A346" s="92" t="s">
        <v>632</v>
      </c>
      <c r="B346" s="10" t="s">
        <v>633</v>
      </c>
      <c r="C346" s="8" t="s">
        <v>634</v>
      </c>
      <c r="D346" s="8"/>
      <c r="E346" s="10" t="s">
        <v>607</v>
      </c>
      <c r="F346" s="93">
        <v>1</v>
      </c>
      <c r="G346" s="93">
        <v>0</v>
      </c>
      <c r="H346" s="93">
        <f>F346*G346</f>
        <v>0</v>
      </c>
      <c r="I346" s="93">
        <v>0</v>
      </c>
      <c r="J346" s="93">
        <f>F346*I346</f>
        <v>0</v>
      </c>
      <c r="K346" s="94"/>
      <c r="Z346" s="93">
        <f>IF(AQ346="5",BJ346,0)</f>
        <v>0</v>
      </c>
      <c r="AB346" s="93">
        <f>IF(AQ346="1",BH346,0)</f>
        <v>0</v>
      </c>
      <c r="AC346" s="93">
        <f>IF(AQ346="1",BI346,0)</f>
        <v>0</v>
      </c>
      <c r="AD346" s="93">
        <f>IF(AQ346="7",BH346,0)</f>
        <v>0</v>
      </c>
      <c r="AE346" s="93">
        <f>IF(AQ346="7",BI346,0)</f>
        <v>0</v>
      </c>
      <c r="AF346" s="93">
        <f>IF(AQ346="2",BH346,0)</f>
        <v>0</v>
      </c>
      <c r="AG346" s="93">
        <f>IF(AQ346="2",BI346,0)</f>
        <v>0</v>
      </c>
      <c r="AH346" s="93">
        <f>IF(AQ346="0",BJ346,0)</f>
        <v>0</v>
      </c>
      <c r="AI346" s="71"/>
      <c r="AJ346" s="93">
        <f>IF(AN346=0,H346,0)</f>
        <v>0</v>
      </c>
      <c r="AK346" s="93">
        <f>IF(AN346=12,H346,0)</f>
        <v>0</v>
      </c>
      <c r="AL346" s="93">
        <f>IF(AN346=21,H346,0)</f>
        <v>0</v>
      </c>
      <c r="AN346" s="93">
        <v>21</v>
      </c>
      <c r="AO346" s="93">
        <f>G346*0</f>
        <v>0</v>
      </c>
      <c r="AP346" s="93">
        <f>G346*(1-0)</f>
        <v>0</v>
      </c>
      <c r="AQ346" s="95" t="s">
        <v>608</v>
      </c>
      <c r="AV346" s="93">
        <f>AW346+AX346</f>
        <v>0</v>
      </c>
      <c r="AW346" s="93">
        <f>F346*AO346</f>
        <v>0</v>
      </c>
      <c r="AX346" s="93">
        <f>F346*AP346</f>
        <v>0</v>
      </c>
      <c r="AY346" s="95" t="s">
        <v>635</v>
      </c>
      <c r="AZ346" s="95" t="s">
        <v>610</v>
      </c>
      <c r="BA346" s="71" t="s">
        <v>123</v>
      </c>
      <c r="BC346" s="93">
        <f>AW346+AX346</f>
        <v>0</v>
      </c>
      <c r="BD346" s="93">
        <f>G346/(100-BE346)*100</f>
        <v>0</v>
      </c>
      <c r="BE346" s="93">
        <v>0</v>
      </c>
      <c r="BF346" s="93">
        <f>J346</f>
        <v>0</v>
      </c>
      <c r="BH346" s="93">
        <f>F346*AO346</f>
        <v>0</v>
      </c>
      <c r="BI346" s="93">
        <f>F346*AP346</f>
        <v>0</v>
      </c>
      <c r="BJ346" s="93">
        <f>F346*G346</f>
        <v>0</v>
      </c>
      <c r="BK346" s="93"/>
      <c r="BL346" s="93"/>
      <c r="BS346" s="93">
        <f>F346*G346</f>
        <v>0</v>
      </c>
      <c r="BW346" s="93">
        <v>21</v>
      </c>
    </row>
    <row r="347" spans="1:11" ht="27" customHeight="1">
      <c r="A347" s="96"/>
      <c r="C347" s="97" t="s">
        <v>636</v>
      </c>
      <c r="D347" s="97"/>
      <c r="E347" s="97"/>
      <c r="F347" s="97"/>
      <c r="G347" s="97"/>
      <c r="H347" s="97"/>
      <c r="I347" s="97"/>
      <c r="J347" s="97"/>
      <c r="K347" s="97"/>
    </row>
    <row r="348" spans="1:11" ht="15">
      <c r="A348" s="102"/>
      <c r="B348" s="103"/>
      <c r="C348" s="104" t="s">
        <v>116</v>
      </c>
      <c r="D348" s="105"/>
      <c r="E348" s="103"/>
      <c r="F348" s="106">
        <v>1</v>
      </c>
      <c r="G348" s="103"/>
      <c r="H348" s="103"/>
      <c r="I348" s="103"/>
      <c r="J348" s="103"/>
      <c r="K348" s="107"/>
    </row>
    <row r="349" ht="15">
      <c r="H349" s="108">
        <f>ROUND(H13+H20+H30+H64+H99+H102+H107+H111+H133+H199+H217+H221+H236+H248+H267+H293+H303+H305+H327+H334+H338+H345,0)</f>
        <v>0</v>
      </c>
    </row>
    <row r="350" ht="15">
      <c r="A350" s="45" t="s">
        <v>55</v>
      </c>
    </row>
    <row r="351" spans="1:11" ht="13.5" customHeight="1">
      <c r="A351" s="8" t="s">
        <v>56</v>
      </c>
      <c r="B351" s="8"/>
      <c r="C351" s="8"/>
      <c r="D351" s="8"/>
      <c r="E351" s="8"/>
      <c r="F351" s="8"/>
      <c r="G351" s="8"/>
      <c r="H351" s="8"/>
      <c r="I351" s="8"/>
      <c r="J351" s="8"/>
      <c r="K351" s="8"/>
    </row>
  </sheetData>
  <mergeCells count="185">
    <mergeCell ref="A1:K1"/>
    <mergeCell ref="A2:B3"/>
    <mergeCell ref="C2:D3"/>
    <mergeCell ref="E2:F3"/>
    <mergeCell ref="G2:G3"/>
    <mergeCell ref="H2:H3"/>
    <mergeCell ref="I2:K3"/>
    <mergeCell ref="A4:B5"/>
    <mergeCell ref="C4:D5"/>
    <mergeCell ref="E4:F5"/>
    <mergeCell ref="G4:G5"/>
    <mergeCell ref="H4:H5"/>
    <mergeCell ref="I4:K5"/>
    <mergeCell ref="A6:B7"/>
    <mergeCell ref="C6:D7"/>
    <mergeCell ref="E6:F7"/>
    <mergeCell ref="G6:G7"/>
    <mergeCell ref="H6:H7"/>
    <mergeCell ref="I6:K7"/>
    <mergeCell ref="A8:B9"/>
    <mergeCell ref="C8:D9"/>
    <mergeCell ref="E8:F9"/>
    <mergeCell ref="G8:G9"/>
    <mergeCell ref="H8:H9"/>
    <mergeCell ref="I8:K9"/>
    <mergeCell ref="C10:D10"/>
    <mergeCell ref="I10:J10"/>
    <mergeCell ref="C11:D11"/>
    <mergeCell ref="C12:D12"/>
    <mergeCell ref="C13:D13"/>
    <mergeCell ref="C14:D14"/>
    <mergeCell ref="C15:K15"/>
    <mergeCell ref="C17:D17"/>
    <mergeCell ref="C18:K18"/>
    <mergeCell ref="C20:D20"/>
    <mergeCell ref="C21:D21"/>
    <mergeCell ref="C22:K22"/>
    <mergeCell ref="C24:D24"/>
    <mergeCell ref="C25:K25"/>
    <mergeCell ref="C27:D27"/>
    <mergeCell ref="C28:K28"/>
    <mergeCell ref="C30:D30"/>
    <mergeCell ref="C31:D31"/>
    <mergeCell ref="C38:D38"/>
    <mergeCell ref="C39:K39"/>
    <mergeCell ref="C41:D41"/>
    <mergeCell ref="C45:D45"/>
    <mergeCell ref="C46:K46"/>
    <mergeCell ref="C53:D53"/>
    <mergeCell ref="C54:K54"/>
    <mergeCell ref="C62:D62"/>
    <mergeCell ref="C64:D64"/>
    <mergeCell ref="C65:D65"/>
    <mergeCell ref="C66:K66"/>
    <mergeCell ref="C72:D72"/>
    <mergeCell ref="C73:K73"/>
    <mergeCell ref="C75:D75"/>
    <mergeCell ref="C76:K76"/>
    <mergeCell ref="C78:D78"/>
    <mergeCell ref="C79:K79"/>
    <mergeCell ref="C81:D81"/>
    <mergeCell ref="C82:K82"/>
    <mergeCell ref="C85:D85"/>
    <mergeCell ref="C88:D88"/>
    <mergeCell ref="C91:D91"/>
    <mergeCell ref="C93:D93"/>
    <mergeCell ref="C97:D97"/>
    <mergeCell ref="C99:D99"/>
    <mergeCell ref="C100:D100"/>
    <mergeCell ref="C102:D102"/>
    <mergeCell ref="C103:D103"/>
    <mergeCell ref="C104:K104"/>
    <mergeCell ref="C107:D107"/>
    <mergeCell ref="C108:D108"/>
    <mergeCell ref="C109:K109"/>
    <mergeCell ref="C111:D111"/>
    <mergeCell ref="C112:D112"/>
    <mergeCell ref="C115:D115"/>
    <mergeCell ref="C116:K116"/>
    <mergeCell ref="C118:D118"/>
    <mergeCell ref="C119:K119"/>
    <mergeCell ref="C122:D122"/>
    <mergeCell ref="C124:D124"/>
    <mergeCell ref="C128:D128"/>
    <mergeCell ref="C130:D130"/>
    <mergeCell ref="C132:D132"/>
    <mergeCell ref="C133:D133"/>
    <mergeCell ref="C134:D134"/>
    <mergeCell ref="C135:K135"/>
    <mergeCell ref="C155:D155"/>
    <mergeCell ref="C156:K156"/>
    <mergeCell ref="C167:D167"/>
    <mergeCell ref="C168:K168"/>
    <mergeCell ref="C172:D172"/>
    <mergeCell ref="C173:K173"/>
    <mergeCell ref="C177:D177"/>
    <mergeCell ref="C178:K178"/>
    <mergeCell ref="C184:D184"/>
    <mergeCell ref="C185:K185"/>
    <mergeCell ref="C191:D191"/>
    <mergeCell ref="C192:K192"/>
    <mergeCell ref="C194:D194"/>
    <mergeCell ref="C196:D196"/>
    <mergeCell ref="C198:D198"/>
    <mergeCell ref="C199:D199"/>
    <mergeCell ref="C200:D200"/>
    <mergeCell ref="C205:D205"/>
    <mergeCell ref="C206:K206"/>
    <mergeCell ref="C208:D208"/>
    <mergeCell ref="C210:D210"/>
    <mergeCell ref="C213:D213"/>
    <mergeCell ref="C214:K214"/>
    <mergeCell ref="C216:D216"/>
    <mergeCell ref="C217:D217"/>
    <mergeCell ref="C218:D218"/>
    <mergeCell ref="C219:K219"/>
    <mergeCell ref="C221:D221"/>
    <mergeCell ref="C222:D222"/>
    <mergeCell ref="C223:K223"/>
    <mergeCell ref="C227:D227"/>
    <mergeCell ref="C228:K228"/>
    <mergeCell ref="C230:D230"/>
    <mergeCell ref="C231:K231"/>
    <mergeCell ref="C233:D233"/>
    <mergeCell ref="C234:K234"/>
    <mergeCell ref="C236:D236"/>
    <mergeCell ref="C237:D237"/>
    <mergeCell ref="C239:D239"/>
    <mergeCell ref="C240:K240"/>
    <mergeCell ref="C242:D242"/>
    <mergeCell ref="C243:K243"/>
    <mergeCell ref="C245:D245"/>
    <mergeCell ref="C246:K246"/>
    <mergeCell ref="C248:D248"/>
    <mergeCell ref="C249:D249"/>
    <mergeCell ref="C250:K250"/>
    <mergeCell ref="C253:D253"/>
    <mergeCell ref="C254:K254"/>
    <mergeCell ref="C258:D258"/>
    <mergeCell ref="C262:D262"/>
    <mergeCell ref="C267:D267"/>
    <mergeCell ref="C268:D268"/>
    <mergeCell ref="C275:D275"/>
    <mergeCell ref="C278:D278"/>
    <mergeCell ref="C282:D282"/>
    <mergeCell ref="C286:D286"/>
    <mergeCell ref="C287:K287"/>
    <mergeCell ref="C289:D289"/>
    <mergeCell ref="C291:D291"/>
    <mergeCell ref="C293:D293"/>
    <mergeCell ref="C294:D294"/>
    <mergeCell ref="C296:D296"/>
    <mergeCell ref="C299:D299"/>
    <mergeCell ref="C300:K300"/>
    <mergeCell ref="C303:D303"/>
    <mergeCell ref="C304:D304"/>
    <mergeCell ref="C305:D305"/>
    <mergeCell ref="C306:D306"/>
    <mergeCell ref="C308:D308"/>
    <mergeCell ref="C310:D310"/>
    <mergeCell ref="C312:D312"/>
    <mergeCell ref="C314:D314"/>
    <mergeCell ref="C316:D316"/>
    <mergeCell ref="C318:D318"/>
    <mergeCell ref="C320:D320"/>
    <mergeCell ref="C322:D322"/>
    <mergeCell ref="C324:D324"/>
    <mergeCell ref="C326:D326"/>
    <mergeCell ref="C327:D327"/>
    <mergeCell ref="C328:D328"/>
    <mergeCell ref="C329:K329"/>
    <mergeCell ref="C331:D331"/>
    <mergeCell ref="C332:K332"/>
    <mergeCell ref="C334:D334"/>
    <mergeCell ref="C335:D335"/>
    <mergeCell ref="C336:K336"/>
    <mergeCell ref="C338:D338"/>
    <mergeCell ref="C339:D339"/>
    <mergeCell ref="C340:K340"/>
    <mergeCell ref="C342:D342"/>
    <mergeCell ref="C343:K343"/>
    <mergeCell ref="C345:D345"/>
    <mergeCell ref="C346:D346"/>
    <mergeCell ref="C347:K347"/>
    <mergeCell ref="A351:K351"/>
  </mergeCells>
  <printOptions/>
  <pageMargins left="0.39375" right="0.39375" top="0.590972222222222" bottom="0.590972222222222" header="0.511811023622047" footer="0.511811023622047"/>
  <pageSetup fitToHeight="0" fitToWidth="1" horizontalDpi="300" verticalDpi="300" orientation="portrait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LibreOffice/7.6.4.1$Windows_X86_64 LibreOffice_project/e19e193f88cd6c0525a17fb7a176ed8e6a3e2aa1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/>
  <dcterms:created xsi:type="dcterms:W3CDTF">2021-06-10T20:06:38Z</dcterms:created>
  <dcterms:modified xsi:type="dcterms:W3CDTF">2024-04-03T06:45:11Z</dcterms:modified>
  <cp:category/>
  <cp:version/>
  <cp:contentType/>
  <cp:contentStatus/>
  <cp:revision>1</cp:revision>
</cp:coreProperties>
</file>