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Absolon\Desktop\"/>
    </mc:Choice>
  </mc:AlternateContent>
  <xr:revisionPtr revIDLastSave="0" documentId="13_ncr:1_{222281CD-08AD-467A-BB22-50B5A56FBCB3}" xr6:coauthVersionLast="47" xr6:coauthVersionMax="47" xr10:uidLastSave="{00000000-0000-0000-0000-000000000000}"/>
  <bookViews>
    <workbookView xWindow="28680" yWindow="-120" windowWidth="29040" windowHeight="17520" activeTab="4" xr2:uid="{F164FF0C-316E-402A-BEFC-162DC6B229AB}"/>
  </bookViews>
  <sheets>
    <sheet name="Krycí list rozpočtu" sheetId="9" r:id="rId1"/>
    <sheet name="Rozpočet - objekty" sheetId="7" r:id="rId2"/>
    <sheet name="Stavební rozpočet" sheetId="6" r:id="rId3"/>
    <sheet name="D.1.4.1 - SILNOPROUDÁ ELE..." sheetId="2" r:id="rId4"/>
    <sheet name="D.1.4.2 - Zařízení pro vy..." sheetId="4" r:id="rId5"/>
    <sheet name="Rekapitulace stavby" sheetId="11" r:id="rId6"/>
    <sheet name="D.1.4.3 - Zařízení vzduch..." sheetId="10" r:id="rId7"/>
    <sheet name="D.1.4.4 - MĚŘENÍ A REGULACE" sheetId="3" r:id="rId8"/>
    <sheet name="VORN" sheetId="8" r:id="rId9"/>
  </sheets>
  <definedNames>
    <definedName name="_xlnm._FilterDatabase" localSheetId="3" hidden="1">'D.1.4.1 - SILNOPROUDÁ ELE...'!$C$125:$K$241</definedName>
    <definedName name="_xlnm._FilterDatabase" localSheetId="4" hidden="1">'D.1.4.2 - Zařízení pro vy...'!$C$88:$K$397</definedName>
    <definedName name="_xlnm._FilterDatabase" localSheetId="6" hidden="1">'D.1.4.3 - Zařízení vzduch...'!$C$90:$K$571</definedName>
    <definedName name="_xlnm._FilterDatabase" localSheetId="7" hidden="1">'D.1.4.4 - MĚŘENÍ A REGULACE'!$C$138:$K$242</definedName>
    <definedName name="CenaCelkem">#REF!</definedName>
    <definedName name="CenaCelkemBezDPH">#REF!</definedName>
    <definedName name="cisloobjektu">#REF!</definedName>
    <definedName name="CisloRozpoctu">#REF!</definedName>
    <definedName name="cislostavby">#REF!</definedName>
    <definedName name="CisloStavebnihoRozpoctu">#REF!</definedName>
    <definedName name="dadresa">#REF!</definedName>
    <definedName name="dmisto">#REF!</definedName>
    <definedName name="DPHSni">#REF!</definedName>
    <definedName name="DPHZakl">#REF!</definedName>
    <definedName name="Excel_BuiltIn_Print_Titles_1">#REF!</definedName>
    <definedName name="IS">#REF!</definedName>
    <definedName name="Mena">#REF!</definedName>
    <definedName name="MistoStavby">#REF!</definedName>
    <definedName name="NaVedomi">#REF!</definedName>
    <definedName name="nazevobjektu">#REF!</definedName>
    <definedName name="NazevRozpoctu">#REF!</definedName>
    <definedName name="nazevstavby">#REF!</definedName>
    <definedName name="NazevStavebnihoRozpoctu">#REF!</definedName>
    <definedName name="_xlnm.Print_Titles" localSheetId="3">'D.1.4.1 - SILNOPROUDÁ ELE...'!$125:$125</definedName>
    <definedName name="_xlnm.Print_Titles" localSheetId="4">'D.1.4.2 - Zařízení pro vy...'!$88:$88</definedName>
    <definedName name="_xlnm.Print_Titles" localSheetId="6">'D.1.4.3 - Zařízení vzduch...'!$90:$90</definedName>
    <definedName name="_xlnm.Print_Titles" localSheetId="7">'D.1.4.4 - MĚŘENÍ A REGULACE'!$138:$138</definedName>
    <definedName name="_xlnm.Print_Titles" localSheetId="5">'Rekapitulace stavby'!$52:$52</definedName>
    <definedName name="oadresa">#REF!</definedName>
    <definedName name="Objekty">#REF!</definedName>
    <definedName name="_xlnm.Print_Area" localSheetId="3">'D.1.4.1 - SILNOPROUDÁ ELE...'!$C$4:$J$76,'D.1.4.1 - SILNOPROUDÁ ELE...'!$C$82:$J$107,'D.1.4.1 - SILNOPROUDÁ ELE...'!$C$113:$K$241</definedName>
    <definedName name="_xlnm.Print_Area" localSheetId="4">'D.1.4.2 - Zařízení pro vy...'!$C$4:$J$39,'D.1.4.2 - Zařízení pro vy...'!$C$45:$J$70,'D.1.4.2 - Zařízení pro vy...'!$C$76:$K$397</definedName>
    <definedName name="_xlnm.Print_Area" localSheetId="6">'D.1.4.3 - Zařízení vzduch...'!$C$4:$J$39,'D.1.4.3 - Zařízení vzduch...'!$C$45:$J$72,'D.1.4.3 - Zařízení vzduch...'!$C$78:$K$571</definedName>
    <definedName name="_xlnm.Print_Area" localSheetId="7">'D.1.4.4 - MĚŘENÍ A REGULACE'!$C$4:$J$76,'D.1.4.4 - MĚŘENÍ A REGULACE'!$C$82:$J$120,'D.1.4.4 - MĚŘENÍ A REGULACE'!$C$126:$K$242</definedName>
    <definedName name="_xlnm.Print_Area" localSheetId="5">'Rekapitulace stavby'!$D$4:$AO$36,'Rekapitulace stavby'!$C$42:$AQ$56</definedName>
    <definedName name="OUD">#REF!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edmet">#REF!</definedName>
    <definedName name="Prilohy">#REF!</definedName>
    <definedName name="Projektant">#REF!</definedName>
    <definedName name="PS">#REF!</definedName>
    <definedName name="SazbaDPH1">#REF!</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orn_sum" localSheetId="0">#REF!</definedName>
    <definedName name="vorn_sum">VORN!$I$10:$I$10</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 name="ZPRACOVATEL">#REF!</definedName>
    <definedName name="Zprav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7" l="1"/>
  <c r="W32" i="11"/>
  <c r="W33" i="11"/>
  <c r="L44" i="11"/>
  <c r="L45" i="11"/>
  <c r="L47" i="11"/>
  <c r="AM47" i="11"/>
  <c r="L49" i="11"/>
  <c r="AM49" i="11"/>
  <c r="L50" i="11"/>
  <c r="AM50" i="11"/>
  <c r="AS54" i="11"/>
  <c r="AU54" i="11"/>
  <c r="BC54" i="11"/>
  <c r="AY54" i="11" s="1"/>
  <c r="BD54" i="11"/>
  <c r="AG55" i="11"/>
  <c r="AN55" i="11" s="1"/>
  <c r="AT55" i="11"/>
  <c r="AU55" i="11"/>
  <c r="AV55" i="11"/>
  <c r="AW55" i="11"/>
  <c r="AX55" i="11"/>
  <c r="AY55" i="11"/>
  <c r="AZ55" i="11"/>
  <c r="AZ54" i="11" s="1"/>
  <c r="BA55" i="11"/>
  <c r="BA54" i="11" s="1"/>
  <c r="BB55" i="11"/>
  <c r="BB54" i="11" s="1"/>
  <c r="BC55" i="11"/>
  <c r="BD55" i="11"/>
  <c r="E7" i="10"/>
  <c r="J12" i="10"/>
  <c r="J85" i="10" s="1"/>
  <c r="J17" i="10"/>
  <c r="E18" i="10"/>
  <c r="F55" i="10" s="1"/>
  <c r="J18" i="10"/>
  <c r="J23" i="10"/>
  <c r="E24" i="10"/>
  <c r="J88" i="10" s="1"/>
  <c r="J24" i="10"/>
  <c r="J35" i="10"/>
  <c r="J36" i="10"/>
  <c r="J37" i="10"/>
  <c r="E48" i="10"/>
  <c r="E50" i="10"/>
  <c r="F52" i="10"/>
  <c r="F54" i="10"/>
  <c r="J54" i="10"/>
  <c r="E81" i="10"/>
  <c r="E83" i="10"/>
  <c r="F85" i="10"/>
  <c r="F87" i="10"/>
  <c r="J87" i="10"/>
  <c r="J94" i="10"/>
  <c r="P94" i="10"/>
  <c r="R94" i="10"/>
  <c r="R93" i="10" s="1"/>
  <c r="T94" i="10"/>
  <c r="BE94" i="10"/>
  <c r="BF94" i="10"/>
  <c r="BG94" i="10"/>
  <c r="F35" i="10" s="1"/>
  <c r="BH94" i="10"/>
  <c r="F36" i="10" s="1"/>
  <c r="BI94" i="10"/>
  <c r="F37" i="10" s="1"/>
  <c r="BK94" i="10"/>
  <c r="J98" i="10"/>
  <c r="P98" i="10"/>
  <c r="P93" i="10" s="1"/>
  <c r="R98" i="10"/>
  <c r="T98" i="10"/>
  <c r="BE98" i="10"/>
  <c r="BF98" i="10"/>
  <c r="F34" i="10" s="1"/>
  <c r="BG98" i="10"/>
  <c r="BH98" i="10"/>
  <c r="BI98" i="10"/>
  <c r="BK98" i="10"/>
  <c r="J99" i="10"/>
  <c r="BE99" i="10" s="1"/>
  <c r="P99" i="10"/>
  <c r="R99" i="10"/>
  <c r="T99" i="10"/>
  <c r="T93" i="10" s="1"/>
  <c r="T92" i="10" s="1"/>
  <c r="BF99" i="10"/>
  <c r="BG99" i="10"/>
  <c r="BH99" i="10"/>
  <c r="BI99" i="10"/>
  <c r="BK99" i="10"/>
  <c r="J100" i="10"/>
  <c r="BE100" i="10" s="1"/>
  <c r="P100" i="10"/>
  <c r="R100" i="10"/>
  <c r="T100" i="10"/>
  <c r="BF100" i="10"/>
  <c r="BG100" i="10"/>
  <c r="BH100" i="10"/>
  <c r="BI100" i="10"/>
  <c r="BK100" i="10"/>
  <c r="BK93" i="10" s="1"/>
  <c r="J102" i="10"/>
  <c r="P102" i="10"/>
  <c r="P101" i="10" s="1"/>
  <c r="R102" i="10"/>
  <c r="R101" i="10" s="1"/>
  <c r="T102" i="10"/>
  <c r="BE102" i="10"/>
  <c r="BF102" i="10"/>
  <c r="BG102" i="10"/>
  <c r="BH102" i="10"/>
  <c r="BI102" i="10"/>
  <c r="BK102" i="10"/>
  <c r="BK101" i="10" s="1"/>
  <c r="J101" i="10" s="1"/>
  <c r="J62" i="10" s="1"/>
  <c r="J105" i="10"/>
  <c r="BE105" i="10" s="1"/>
  <c r="P105" i="10"/>
  <c r="R105" i="10"/>
  <c r="T105" i="10"/>
  <c r="BF105" i="10"/>
  <c r="BG105" i="10"/>
  <c r="BH105" i="10"/>
  <c r="BI105" i="10"/>
  <c r="BK105" i="10"/>
  <c r="J109" i="10"/>
  <c r="BE109" i="10" s="1"/>
  <c r="P109" i="10"/>
  <c r="R109" i="10"/>
  <c r="T109" i="10"/>
  <c r="T101" i="10" s="1"/>
  <c r="BF109" i="10"/>
  <c r="BG109" i="10"/>
  <c r="BH109" i="10"/>
  <c r="BI109" i="10"/>
  <c r="BK109" i="10"/>
  <c r="J112" i="10"/>
  <c r="P112" i="10"/>
  <c r="R112" i="10"/>
  <c r="T112" i="10"/>
  <c r="BE112" i="10"/>
  <c r="BF112" i="10"/>
  <c r="BG112" i="10"/>
  <c r="BH112" i="10"/>
  <c r="BI112" i="10"/>
  <c r="BK112" i="10"/>
  <c r="J115" i="10"/>
  <c r="P115" i="10"/>
  <c r="R115" i="10"/>
  <c r="T115" i="10"/>
  <c r="BE115" i="10"/>
  <c r="BF115" i="10"/>
  <c r="BG115" i="10"/>
  <c r="BH115" i="10"/>
  <c r="BI115" i="10"/>
  <c r="BK115" i="10"/>
  <c r="J119" i="10"/>
  <c r="J63" i="10" s="1"/>
  <c r="P119" i="10"/>
  <c r="BK119" i="10"/>
  <c r="J120" i="10"/>
  <c r="BE120" i="10" s="1"/>
  <c r="P120" i="10"/>
  <c r="R120" i="10"/>
  <c r="R119" i="10" s="1"/>
  <c r="T120" i="10"/>
  <c r="T119" i="10" s="1"/>
  <c r="BF120" i="10"/>
  <c r="BG120" i="10"/>
  <c r="BH120" i="10"/>
  <c r="BI120" i="10"/>
  <c r="BK120" i="10"/>
  <c r="J125" i="10"/>
  <c r="P125" i="10"/>
  <c r="R125" i="10"/>
  <c r="R124" i="10" s="1"/>
  <c r="T125" i="10"/>
  <c r="BE125" i="10"/>
  <c r="BF125" i="10"/>
  <c r="BG125" i="10"/>
  <c r="BH125" i="10"/>
  <c r="BI125" i="10"/>
  <c r="BK125" i="10"/>
  <c r="J126" i="10"/>
  <c r="P126" i="10"/>
  <c r="P124" i="10" s="1"/>
  <c r="R126" i="10"/>
  <c r="T126" i="10"/>
  <c r="BE126" i="10"/>
  <c r="BF126" i="10"/>
  <c r="BG126" i="10"/>
  <c r="BH126" i="10"/>
  <c r="BI126" i="10"/>
  <c r="BK126" i="10"/>
  <c r="J127" i="10"/>
  <c r="BE127" i="10" s="1"/>
  <c r="P127" i="10"/>
  <c r="R127" i="10"/>
  <c r="T127" i="10"/>
  <c r="T124" i="10" s="1"/>
  <c r="BF127" i="10"/>
  <c r="BG127" i="10"/>
  <c r="BH127" i="10"/>
  <c r="BI127" i="10"/>
  <c r="BK127" i="10"/>
  <c r="J128" i="10"/>
  <c r="BE128" i="10" s="1"/>
  <c r="P128" i="10"/>
  <c r="R128" i="10"/>
  <c r="T128" i="10"/>
  <c r="BF128" i="10"/>
  <c r="BG128" i="10"/>
  <c r="BH128" i="10"/>
  <c r="BI128" i="10"/>
  <c r="BK128" i="10"/>
  <c r="BK124" i="10" s="1"/>
  <c r="J129" i="10"/>
  <c r="P129" i="10"/>
  <c r="R129" i="10"/>
  <c r="T129" i="10"/>
  <c r="BE129" i="10"/>
  <c r="BF129" i="10"/>
  <c r="BG129" i="10"/>
  <c r="BH129" i="10"/>
  <c r="BI129" i="10"/>
  <c r="BK129" i="10"/>
  <c r="J130" i="10"/>
  <c r="P130" i="10"/>
  <c r="R130" i="10"/>
  <c r="T130" i="10"/>
  <c r="BE130" i="10"/>
  <c r="BF130" i="10"/>
  <c r="BG130" i="10"/>
  <c r="BH130" i="10"/>
  <c r="BI130" i="10"/>
  <c r="BK130" i="10"/>
  <c r="J131" i="10"/>
  <c r="BE131" i="10" s="1"/>
  <c r="P131" i="10"/>
  <c r="R131" i="10"/>
  <c r="T131" i="10"/>
  <c r="BF131" i="10"/>
  <c r="BG131" i="10"/>
  <c r="BH131" i="10"/>
  <c r="BI131" i="10"/>
  <c r="BK131" i="10"/>
  <c r="J132" i="10"/>
  <c r="BE132" i="10" s="1"/>
  <c r="P132" i="10"/>
  <c r="R132" i="10"/>
  <c r="T132" i="10"/>
  <c r="BF132" i="10"/>
  <c r="BG132" i="10"/>
  <c r="BH132" i="10"/>
  <c r="BI132" i="10"/>
  <c r="BK132" i="10"/>
  <c r="J133" i="10"/>
  <c r="P133" i="10"/>
  <c r="R133" i="10"/>
  <c r="T133" i="10"/>
  <c r="BE133" i="10"/>
  <c r="BF133" i="10"/>
  <c r="BG133" i="10"/>
  <c r="BH133" i="10"/>
  <c r="BI133" i="10"/>
  <c r="BK133" i="10"/>
  <c r="J134" i="10"/>
  <c r="P134" i="10"/>
  <c r="R134" i="10"/>
  <c r="T134" i="10"/>
  <c r="BE134" i="10"/>
  <c r="BF134" i="10"/>
  <c r="BG134" i="10"/>
  <c r="BH134" i="10"/>
  <c r="BI134" i="10"/>
  <c r="BK134" i="10"/>
  <c r="J135" i="10"/>
  <c r="BE135" i="10" s="1"/>
  <c r="P135" i="10"/>
  <c r="R135" i="10"/>
  <c r="T135" i="10"/>
  <c r="BF135" i="10"/>
  <c r="BG135" i="10"/>
  <c r="BH135" i="10"/>
  <c r="BI135" i="10"/>
  <c r="BK135" i="10"/>
  <c r="J138" i="10"/>
  <c r="BE138" i="10" s="1"/>
  <c r="P138" i="10"/>
  <c r="R138" i="10"/>
  <c r="T138" i="10"/>
  <c r="BF138" i="10"/>
  <c r="BG138" i="10"/>
  <c r="BH138" i="10"/>
  <c r="BI138" i="10"/>
  <c r="BK138" i="10"/>
  <c r="J139" i="10"/>
  <c r="P139" i="10"/>
  <c r="R139" i="10"/>
  <c r="T139" i="10"/>
  <c r="BE139" i="10"/>
  <c r="BF139" i="10"/>
  <c r="BG139" i="10"/>
  <c r="BH139" i="10"/>
  <c r="BI139" i="10"/>
  <c r="BK139" i="10"/>
  <c r="J140" i="10"/>
  <c r="P140" i="10"/>
  <c r="R140" i="10"/>
  <c r="T140" i="10"/>
  <c r="BE140" i="10"/>
  <c r="BF140" i="10"/>
  <c r="BG140" i="10"/>
  <c r="BH140" i="10"/>
  <c r="BI140" i="10"/>
  <c r="BK140" i="10"/>
  <c r="J141" i="10"/>
  <c r="BE141" i="10" s="1"/>
  <c r="P141" i="10"/>
  <c r="R141" i="10"/>
  <c r="T141" i="10"/>
  <c r="BF141" i="10"/>
  <c r="BG141" i="10"/>
  <c r="BH141" i="10"/>
  <c r="BI141" i="10"/>
  <c r="BK141" i="10"/>
  <c r="J144" i="10"/>
  <c r="BE144" i="10" s="1"/>
  <c r="P144" i="10"/>
  <c r="R144" i="10"/>
  <c r="T144" i="10"/>
  <c r="BF144" i="10"/>
  <c r="BG144" i="10"/>
  <c r="BH144" i="10"/>
  <c r="BI144" i="10"/>
  <c r="BK144" i="10"/>
  <c r="J147" i="10"/>
  <c r="P147" i="10"/>
  <c r="R147" i="10"/>
  <c r="T147" i="10"/>
  <c r="BE147" i="10"/>
  <c r="BF147" i="10"/>
  <c r="BG147" i="10"/>
  <c r="BH147" i="10"/>
  <c r="BI147" i="10"/>
  <c r="BK147" i="10"/>
  <c r="J149" i="10"/>
  <c r="BE149" i="10" s="1"/>
  <c r="P149" i="10"/>
  <c r="R149" i="10"/>
  <c r="T149" i="10"/>
  <c r="T148" i="10" s="1"/>
  <c r="BF149" i="10"/>
  <c r="BG149" i="10"/>
  <c r="BH149" i="10"/>
  <c r="BI149" i="10"/>
  <c r="BK149" i="10"/>
  <c r="J151" i="10"/>
  <c r="P151" i="10"/>
  <c r="P148" i="10" s="1"/>
  <c r="R151" i="10"/>
  <c r="T151" i="10"/>
  <c r="BE151" i="10"/>
  <c r="BF151" i="10"/>
  <c r="BG151" i="10"/>
  <c r="BH151" i="10"/>
  <c r="BI151" i="10"/>
  <c r="BK151" i="10"/>
  <c r="J154" i="10"/>
  <c r="P154" i="10"/>
  <c r="R154" i="10"/>
  <c r="T154" i="10"/>
  <c r="BE154" i="10"/>
  <c r="BF154" i="10"/>
  <c r="BG154" i="10"/>
  <c r="BH154" i="10"/>
  <c r="BI154" i="10"/>
  <c r="BK154" i="10"/>
  <c r="J156" i="10"/>
  <c r="P156" i="10"/>
  <c r="R156" i="10"/>
  <c r="R148" i="10" s="1"/>
  <c r="T156" i="10"/>
  <c r="BE156" i="10"/>
  <c r="BF156" i="10"/>
  <c r="BG156" i="10"/>
  <c r="BH156" i="10"/>
  <c r="BI156" i="10"/>
  <c r="BK156" i="10"/>
  <c r="BK148" i="10" s="1"/>
  <c r="J148" i="10" s="1"/>
  <c r="J66" i="10" s="1"/>
  <c r="J157" i="10"/>
  <c r="BE157" i="10" s="1"/>
  <c r="P157" i="10"/>
  <c r="R157" i="10"/>
  <c r="T157" i="10"/>
  <c r="BF157" i="10"/>
  <c r="BG157" i="10"/>
  <c r="BH157" i="10"/>
  <c r="BI157" i="10"/>
  <c r="BK157" i="10"/>
  <c r="J158" i="10"/>
  <c r="P158" i="10"/>
  <c r="R158" i="10"/>
  <c r="T158" i="10"/>
  <c r="BE158" i="10"/>
  <c r="BF158" i="10"/>
  <c r="BG158" i="10"/>
  <c r="BH158" i="10"/>
  <c r="BI158" i="10"/>
  <c r="BK158" i="10"/>
  <c r="J159" i="10"/>
  <c r="P159" i="10"/>
  <c r="R159" i="10"/>
  <c r="T159" i="10"/>
  <c r="BE159" i="10"/>
  <c r="BF159" i="10"/>
  <c r="BG159" i="10"/>
  <c r="BH159" i="10"/>
  <c r="BI159" i="10"/>
  <c r="BK159" i="10"/>
  <c r="J162" i="10"/>
  <c r="P162" i="10"/>
  <c r="R162" i="10"/>
  <c r="T162" i="10"/>
  <c r="BE162" i="10"/>
  <c r="BF162" i="10"/>
  <c r="BG162" i="10"/>
  <c r="BH162" i="10"/>
  <c r="BI162" i="10"/>
  <c r="BK162" i="10"/>
  <c r="J166" i="10"/>
  <c r="BE166" i="10" s="1"/>
  <c r="P166" i="10"/>
  <c r="R166" i="10"/>
  <c r="R165" i="10" s="1"/>
  <c r="T166" i="10"/>
  <c r="T165" i="10" s="1"/>
  <c r="BF166" i="10"/>
  <c r="BG166" i="10"/>
  <c r="BH166" i="10"/>
  <c r="BI166" i="10"/>
  <c r="BK166" i="10"/>
  <c r="J170" i="10"/>
  <c r="BE170" i="10" s="1"/>
  <c r="P170" i="10"/>
  <c r="P165" i="10" s="1"/>
  <c r="R170" i="10"/>
  <c r="T170" i="10"/>
  <c r="BF170" i="10"/>
  <c r="BG170" i="10"/>
  <c r="BH170" i="10"/>
  <c r="BI170" i="10"/>
  <c r="BK170" i="10"/>
  <c r="BK165" i="10" s="1"/>
  <c r="J165" i="10" s="1"/>
  <c r="J67" i="10" s="1"/>
  <c r="J174" i="10"/>
  <c r="P174" i="10"/>
  <c r="R174" i="10"/>
  <c r="T174" i="10"/>
  <c r="BE174" i="10"/>
  <c r="BF174" i="10"/>
  <c r="BG174" i="10"/>
  <c r="BH174" i="10"/>
  <c r="BI174" i="10"/>
  <c r="BK174" i="10"/>
  <c r="J175" i="10"/>
  <c r="P175" i="10"/>
  <c r="R175" i="10"/>
  <c r="T175" i="10"/>
  <c r="BE175" i="10"/>
  <c r="BF175" i="10"/>
  <c r="BG175" i="10"/>
  <c r="BH175" i="10"/>
  <c r="BI175" i="10"/>
  <c r="BK175" i="10"/>
  <c r="J179" i="10"/>
  <c r="BE179" i="10" s="1"/>
  <c r="P179" i="10"/>
  <c r="R179" i="10"/>
  <c r="T179" i="10"/>
  <c r="BF179" i="10"/>
  <c r="BG179" i="10"/>
  <c r="BH179" i="10"/>
  <c r="BI179" i="10"/>
  <c r="BK179" i="10"/>
  <c r="J183" i="10"/>
  <c r="BE183" i="10" s="1"/>
  <c r="P183" i="10"/>
  <c r="R183" i="10"/>
  <c r="T183" i="10"/>
  <c r="BF183" i="10"/>
  <c r="BG183" i="10"/>
  <c r="BH183" i="10"/>
  <c r="BI183" i="10"/>
  <c r="BK183" i="10"/>
  <c r="J188" i="10"/>
  <c r="P188" i="10"/>
  <c r="R188" i="10"/>
  <c r="T188" i="10"/>
  <c r="BE188" i="10"/>
  <c r="BF188" i="10"/>
  <c r="BG188" i="10"/>
  <c r="BH188" i="10"/>
  <c r="BI188" i="10"/>
  <c r="BK188" i="10"/>
  <c r="J189" i="10"/>
  <c r="P189" i="10"/>
  <c r="R189" i="10"/>
  <c r="T189" i="10"/>
  <c r="BE189" i="10"/>
  <c r="BF189" i="10"/>
  <c r="BG189" i="10"/>
  <c r="BH189" i="10"/>
  <c r="BI189" i="10"/>
  <c r="BK189" i="10"/>
  <c r="J194" i="10"/>
  <c r="BE194" i="10" s="1"/>
  <c r="P194" i="10"/>
  <c r="R194" i="10"/>
  <c r="T194" i="10"/>
  <c r="BF194" i="10"/>
  <c r="BG194" i="10"/>
  <c r="BH194" i="10"/>
  <c r="BI194" i="10"/>
  <c r="BK194" i="10"/>
  <c r="J195" i="10"/>
  <c r="BE195" i="10" s="1"/>
  <c r="P195" i="10"/>
  <c r="R195" i="10"/>
  <c r="T195" i="10"/>
  <c r="BF195" i="10"/>
  <c r="BG195" i="10"/>
  <c r="BH195" i="10"/>
  <c r="BI195" i="10"/>
  <c r="BK195" i="10"/>
  <c r="J196" i="10"/>
  <c r="P196" i="10"/>
  <c r="R196" i="10"/>
  <c r="T196" i="10"/>
  <c r="BE196" i="10"/>
  <c r="BF196" i="10"/>
  <c r="BG196" i="10"/>
  <c r="BH196" i="10"/>
  <c r="BI196" i="10"/>
  <c r="BK196" i="10"/>
  <c r="J201" i="10"/>
  <c r="P201" i="10"/>
  <c r="R201" i="10"/>
  <c r="T201" i="10"/>
  <c r="BE201" i="10"/>
  <c r="BF201" i="10"/>
  <c r="BG201" i="10"/>
  <c r="BH201" i="10"/>
  <c r="BI201" i="10"/>
  <c r="BK201" i="10"/>
  <c r="J202" i="10"/>
  <c r="BE202" i="10" s="1"/>
  <c r="P202" i="10"/>
  <c r="R202" i="10"/>
  <c r="T202" i="10"/>
  <c r="BF202" i="10"/>
  <c r="BG202" i="10"/>
  <c r="BH202" i="10"/>
  <c r="BI202" i="10"/>
  <c r="BK202" i="10"/>
  <c r="J207" i="10"/>
  <c r="BE207" i="10" s="1"/>
  <c r="P207" i="10"/>
  <c r="R207" i="10"/>
  <c r="T207" i="10"/>
  <c r="BF207" i="10"/>
  <c r="BG207" i="10"/>
  <c r="BH207" i="10"/>
  <c r="BI207" i="10"/>
  <c r="BK207" i="10"/>
  <c r="J208" i="10"/>
  <c r="P208" i="10"/>
  <c r="R208" i="10"/>
  <c r="T208" i="10"/>
  <c r="BE208" i="10"/>
  <c r="BF208" i="10"/>
  <c r="BG208" i="10"/>
  <c r="BH208" i="10"/>
  <c r="BI208" i="10"/>
  <c r="BK208" i="10"/>
  <c r="J213" i="10"/>
  <c r="P213" i="10"/>
  <c r="R213" i="10"/>
  <c r="T213" i="10"/>
  <c r="BE213" i="10"/>
  <c r="BF213" i="10"/>
  <c r="BG213" i="10"/>
  <c r="BH213" i="10"/>
  <c r="BI213" i="10"/>
  <c r="BK213" i="10"/>
  <c r="J214" i="10"/>
  <c r="BE214" i="10" s="1"/>
  <c r="P214" i="10"/>
  <c r="R214" i="10"/>
  <c r="T214" i="10"/>
  <c r="BF214" i="10"/>
  <c r="BG214" i="10"/>
  <c r="BH214" i="10"/>
  <c r="BI214" i="10"/>
  <c r="BK214" i="10"/>
  <c r="J219" i="10"/>
  <c r="BE219" i="10" s="1"/>
  <c r="P219" i="10"/>
  <c r="R219" i="10"/>
  <c r="T219" i="10"/>
  <c r="BF219" i="10"/>
  <c r="BG219" i="10"/>
  <c r="BH219" i="10"/>
  <c r="BI219" i="10"/>
  <c r="BK219" i="10"/>
  <c r="J220" i="10"/>
  <c r="P220" i="10"/>
  <c r="R220" i="10"/>
  <c r="T220" i="10"/>
  <c r="BE220" i="10"/>
  <c r="BF220" i="10"/>
  <c r="BG220" i="10"/>
  <c r="BH220" i="10"/>
  <c r="BI220" i="10"/>
  <c r="BK220" i="10"/>
  <c r="J225" i="10"/>
  <c r="P225" i="10"/>
  <c r="R225" i="10"/>
  <c r="T225" i="10"/>
  <c r="BE225" i="10"/>
  <c r="BF225" i="10"/>
  <c r="BG225" i="10"/>
  <c r="BH225" i="10"/>
  <c r="BI225" i="10"/>
  <c r="BK225" i="10"/>
  <c r="J226" i="10"/>
  <c r="BE226" i="10" s="1"/>
  <c r="P226" i="10"/>
  <c r="R226" i="10"/>
  <c r="T226" i="10"/>
  <c r="BF226" i="10"/>
  <c r="BG226" i="10"/>
  <c r="BH226" i="10"/>
  <c r="BI226" i="10"/>
  <c r="BK226" i="10"/>
  <c r="J231" i="10"/>
  <c r="BE231" i="10" s="1"/>
  <c r="P231" i="10"/>
  <c r="R231" i="10"/>
  <c r="T231" i="10"/>
  <c r="BF231" i="10"/>
  <c r="BG231" i="10"/>
  <c r="BH231" i="10"/>
  <c r="BI231" i="10"/>
  <c r="BK231" i="10"/>
  <c r="J232" i="10"/>
  <c r="P232" i="10"/>
  <c r="R232" i="10"/>
  <c r="T232" i="10"/>
  <c r="BE232" i="10"/>
  <c r="BF232" i="10"/>
  <c r="BG232" i="10"/>
  <c r="BH232" i="10"/>
  <c r="BI232" i="10"/>
  <c r="BK232" i="10"/>
  <c r="J237" i="10"/>
  <c r="P237" i="10"/>
  <c r="R237" i="10"/>
  <c r="T237" i="10"/>
  <c r="BE237" i="10"/>
  <c r="BF237" i="10"/>
  <c r="BG237" i="10"/>
  <c r="BH237" i="10"/>
  <c r="BI237" i="10"/>
  <c r="BK237" i="10"/>
  <c r="J238" i="10"/>
  <c r="BE238" i="10" s="1"/>
  <c r="P238" i="10"/>
  <c r="R238" i="10"/>
  <c r="T238" i="10"/>
  <c r="BF238" i="10"/>
  <c r="BG238" i="10"/>
  <c r="BH238" i="10"/>
  <c r="BI238" i="10"/>
  <c r="BK238" i="10"/>
  <c r="J244" i="10"/>
  <c r="BE244" i="10" s="1"/>
  <c r="P244" i="10"/>
  <c r="R244" i="10"/>
  <c r="T244" i="10"/>
  <c r="BF244" i="10"/>
  <c r="BG244" i="10"/>
  <c r="BH244" i="10"/>
  <c r="BI244" i="10"/>
  <c r="BK244" i="10"/>
  <c r="J250" i="10"/>
  <c r="P250" i="10"/>
  <c r="R250" i="10"/>
  <c r="T250" i="10"/>
  <c r="BE250" i="10"/>
  <c r="BF250" i="10"/>
  <c r="BG250" i="10"/>
  <c r="BH250" i="10"/>
  <c r="BI250" i="10"/>
  <c r="BK250" i="10"/>
  <c r="J256" i="10"/>
  <c r="P256" i="10"/>
  <c r="R256" i="10"/>
  <c r="T256" i="10"/>
  <c r="BE256" i="10"/>
  <c r="BF256" i="10"/>
  <c r="BG256" i="10"/>
  <c r="BH256" i="10"/>
  <c r="BI256" i="10"/>
  <c r="BK256" i="10"/>
  <c r="J262" i="10"/>
  <c r="BE262" i="10" s="1"/>
  <c r="P262" i="10"/>
  <c r="R262" i="10"/>
  <c r="T262" i="10"/>
  <c r="BF262" i="10"/>
  <c r="BG262" i="10"/>
  <c r="BH262" i="10"/>
  <c r="BI262" i="10"/>
  <c r="BK262" i="10"/>
  <c r="J268" i="10"/>
  <c r="BE268" i="10" s="1"/>
  <c r="P268" i="10"/>
  <c r="R268" i="10"/>
  <c r="T268" i="10"/>
  <c r="BF268" i="10"/>
  <c r="BG268" i="10"/>
  <c r="BH268" i="10"/>
  <c r="BI268" i="10"/>
  <c r="BK268" i="10"/>
  <c r="J273" i="10"/>
  <c r="P273" i="10"/>
  <c r="R273" i="10"/>
  <c r="T273" i="10"/>
  <c r="BE273" i="10"/>
  <c r="BF273" i="10"/>
  <c r="BG273" i="10"/>
  <c r="BH273" i="10"/>
  <c r="BI273" i="10"/>
  <c r="BK273" i="10"/>
  <c r="J278" i="10"/>
  <c r="P278" i="10"/>
  <c r="R278" i="10"/>
  <c r="T278" i="10"/>
  <c r="BE278" i="10"/>
  <c r="BF278" i="10"/>
  <c r="BG278" i="10"/>
  <c r="BH278" i="10"/>
  <c r="BI278" i="10"/>
  <c r="BK278" i="10"/>
  <c r="J284" i="10"/>
  <c r="BE284" i="10" s="1"/>
  <c r="P284" i="10"/>
  <c r="R284" i="10"/>
  <c r="T284" i="10"/>
  <c r="BF284" i="10"/>
  <c r="BG284" i="10"/>
  <c r="BH284" i="10"/>
  <c r="BI284" i="10"/>
  <c r="BK284" i="10"/>
  <c r="J285" i="10"/>
  <c r="BE285" i="10" s="1"/>
  <c r="P285" i="10"/>
  <c r="R285" i="10"/>
  <c r="T285" i="10"/>
  <c r="BF285" i="10"/>
  <c r="BG285" i="10"/>
  <c r="BH285" i="10"/>
  <c r="BI285" i="10"/>
  <c r="BK285" i="10"/>
  <c r="J286" i="10"/>
  <c r="P286" i="10"/>
  <c r="R286" i="10"/>
  <c r="T286" i="10"/>
  <c r="BE286" i="10"/>
  <c r="BF286" i="10"/>
  <c r="BG286" i="10"/>
  <c r="BH286" i="10"/>
  <c r="BI286" i="10"/>
  <c r="BK286" i="10"/>
  <c r="J287" i="10"/>
  <c r="P287" i="10"/>
  <c r="R287" i="10"/>
  <c r="T287" i="10"/>
  <c r="BE287" i="10"/>
  <c r="BF287" i="10"/>
  <c r="BG287" i="10"/>
  <c r="BH287" i="10"/>
  <c r="BI287" i="10"/>
  <c r="BK287" i="10"/>
  <c r="J288" i="10"/>
  <c r="BE288" i="10" s="1"/>
  <c r="P288" i="10"/>
  <c r="R288" i="10"/>
  <c r="T288" i="10"/>
  <c r="BF288" i="10"/>
  <c r="BG288" i="10"/>
  <c r="BH288" i="10"/>
  <c r="BI288" i="10"/>
  <c r="BK288" i="10"/>
  <c r="J289" i="10"/>
  <c r="BE289" i="10" s="1"/>
  <c r="P289" i="10"/>
  <c r="R289" i="10"/>
  <c r="T289" i="10"/>
  <c r="BF289" i="10"/>
  <c r="BG289" i="10"/>
  <c r="BH289" i="10"/>
  <c r="BI289" i="10"/>
  <c r="BK289" i="10"/>
  <c r="J290" i="10"/>
  <c r="P290" i="10"/>
  <c r="R290" i="10"/>
  <c r="T290" i="10"/>
  <c r="BE290" i="10"/>
  <c r="BF290" i="10"/>
  <c r="BG290" i="10"/>
  <c r="BH290" i="10"/>
  <c r="BI290" i="10"/>
  <c r="BK290" i="10"/>
  <c r="J293" i="10"/>
  <c r="P293" i="10"/>
  <c r="R293" i="10"/>
  <c r="T293" i="10"/>
  <c r="BE293" i="10"/>
  <c r="BF293" i="10"/>
  <c r="BG293" i="10"/>
  <c r="BH293" i="10"/>
  <c r="BI293" i="10"/>
  <c r="BK293" i="10"/>
  <c r="J296" i="10"/>
  <c r="BE296" i="10" s="1"/>
  <c r="P296" i="10"/>
  <c r="R296" i="10"/>
  <c r="T296" i="10"/>
  <c r="BF296" i="10"/>
  <c r="BG296" i="10"/>
  <c r="BH296" i="10"/>
  <c r="BI296" i="10"/>
  <c r="BK296" i="10"/>
  <c r="J297" i="10"/>
  <c r="BE297" i="10" s="1"/>
  <c r="P297" i="10"/>
  <c r="R297" i="10"/>
  <c r="T297" i="10"/>
  <c r="BF297" i="10"/>
  <c r="BG297" i="10"/>
  <c r="BH297" i="10"/>
  <c r="BI297" i="10"/>
  <c r="BK297" i="10"/>
  <c r="J298" i="10"/>
  <c r="P298" i="10"/>
  <c r="R298" i="10"/>
  <c r="T298" i="10"/>
  <c r="BE298" i="10"/>
  <c r="BF298" i="10"/>
  <c r="BG298" i="10"/>
  <c r="BH298" i="10"/>
  <c r="BI298" i="10"/>
  <c r="BK298" i="10"/>
  <c r="J300" i="10"/>
  <c r="P300" i="10"/>
  <c r="R300" i="10"/>
  <c r="T300" i="10"/>
  <c r="BE300" i="10"/>
  <c r="BF300" i="10"/>
  <c r="BG300" i="10"/>
  <c r="BH300" i="10"/>
  <c r="BI300" i="10"/>
  <c r="BK300" i="10"/>
  <c r="J302" i="10"/>
  <c r="BE302" i="10" s="1"/>
  <c r="P302" i="10"/>
  <c r="R302" i="10"/>
  <c r="T302" i="10"/>
  <c r="BF302" i="10"/>
  <c r="BG302" i="10"/>
  <c r="BH302" i="10"/>
  <c r="BI302" i="10"/>
  <c r="BK302" i="10"/>
  <c r="J305" i="10"/>
  <c r="BE305" i="10" s="1"/>
  <c r="P305" i="10"/>
  <c r="R305" i="10"/>
  <c r="T305" i="10"/>
  <c r="BF305" i="10"/>
  <c r="BG305" i="10"/>
  <c r="BH305" i="10"/>
  <c r="BI305" i="10"/>
  <c r="BK305" i="10"/>
  <c r="J307" i="10"/>
  <c r="P307" i="10"/>
  <c r="R307" i="10"/>
  <c r="T307" i="10"/>
  <c r="BE307" i="10"/>
  <c r="BF307" i="10"/>
  <c r="BG307" i="10"/>
  <c r="BH307" i="10"/>
  <c r="BI307" i="10"/>
  <c r="BK307" i="10"/>
  <c r="J310" i="10"/>
  <c r="BE310" i="10" s="1"/>
  <c r="P310" i="10"/>
  <c r="P309" i="10" s="1"/>
  <c r="R310" i="10"/>
  <c r="T310" i="10"/>
  <c r="T309" i="10" s="1"/>
  <c r="BF310" i="10"/>
  <c r="BG310" i="10"/>
  <c r="BH310" i="10"/>
  <c r="BI310" i="10"/>
  <c r="BK310" i="10"/>
  <c r="J313" i="10"/>
  <c r="P313" i="10"/>
  <c r="R313" i="10"/>
  <c r="T313" i="10"/>
  <c r="BE313" i="10"/>
  <c r="BF313" i="10"/>
  <c r="BG313" i="10"/>
  <c r="BH313" i="10"/>
  <c r="BI313" i="10"/>
  <c r="BK313" i="10"/>
  <c r="J316" i="10"/>
  <c r="P316" i="10"/>
  <c r="R316" i="10"/>
  <c r="T316" i="10"/>
  <c r="BE316" i="10"/>
  <c r="BF316" i="10"/>
  <c r="BG316" i="10"/>
  <c r="BH316" i="10"/>
  <c r="BI316" i="10"/>
  <c r="BK316" i="10"/>
  <c r="J317" i="10"/>
  <c r="P317" i="10"/>
  <c r="R317" i="10"/>
  <c r="R309" i="10" s="1"/>
  <c r="T317" i="10"/>
  <c r="BE317" i="10"/>
  <c r="BF317" i="10"/>
  <c r="BG317" i="10"/>
  <c r="BH317" i="10"/>
  <c r="BI317" i="10"/>
  <c r="BK317" i="10"/>
  <c r="BK309" i="10" s="1"/>
  <c r="J309" i="10" s="1"/>
  <c r="J68" i="10" s="1"/>
  <c r="J320" i="10"/>
  <c r="BE320" i="10" s="1"/>
  <c r="P320" i="10"/>
  <c r="R320" i="10"/>
  <c r="T320" i="10"/>
  <c r="BF320" i="10"/>
  <c r="BG320" i="10"/>
  <c r="BH320" i="10"/>
  <c r="BI320" i="10"/>
  <c r="BK320" i="10"/>
  <c r="J324" i="10"/>
  <c r="P324" i="10"/>
  <c r="R324" i="10"/>
  <c r="T324" i="10"/>
  <c r="BE324" i="10"/>
  <c r="BF324" i="10"/>
  <c r="BG324" i="10"/>
  <c r="BH324" i="10"/>
  <c r="BI324" i="10"/>
  <c r="BK324" i="10"/>
  <c r="J325" i="10"/>
  <c r="P325" i="10"/>
  <c r="R325" i="10"/>
  <c r="T325" i="10"/>
  <c r="BE325" i="10"/>
  <c r="BF325" i="10"/>
  <c r="BG325" i="10"/>
  <c r="BH325" i="10"/>
  <c r="BI325" i="10"/>
  <c r="BK325" i="10"/>
  <c r="J326" i="10"/>
  <c r="P326" i="10"/>
  <c r="R326" i="10"/>
  <c r="T326" i="10"/>
  <c r="BE326" i="10"/>
  <c r="BF326" i="10"/>
  <c r="BG326" i="10"/>
  <c r="BH326" i="10"/>
  <c r="BI326" i="10"/>
  <c r="BK326" i="10"/>
  <c r="J330" i="10"/>
  <c r="BE330" i="10" s="1"/>
  <c r="P330" i="10"/>
  <c r="R330" i="10"/>
  <c r="T330" i="10"/>
  <c r="BF330" i="10"/>
  <c r="BG330" i="10"/>
  <c r="BH330" i="10"/>
  <c r="BI330" i="10"/>
  <c r="BK330" i="10"/>
  <c r="J331" i="10"/>
  <c r="P331" i="10"/>
  <c r="R331" i="10"/>
  <c r="T331" i="10"/>
  <c r="BE331" i="10"/>
  <c r="BF331" i="10"/>
  <c r="BG331" i="10"/>
  <c r="BH331" i="10"/>
  <c r="BI331" i="10"/>
  <c r="BK331" i="10"/>
  <c r="J335" i="10"/>
  <c r="P335" i="10"/>
  <c r="R335" i="10"/>
  <c r="T335" i="10"/>
  <c r="BE335" i="10"/>
  <c r="BF335" i="10"/>
  <c r="BG335" i="10"/>
  <c r="BH335" i="10"/>
  <c r="BI335" i="10"/>
  <c r="BK335" i="10"/>
  <c r="J336" i="10"/>
  <c r="P336" i="10"/>
  <c r="R336" i="10"/>
  <c r="T336" i="10"/>
  <c r="BE336" i="10"/>
  <c r="BF336" i="10"/>
  <c r="BG336" i="10"/>
  <c r="BH336" i="10"/>
  <c r="BI336" i="10"/>
  <c r="BK336" i="10"/>
  <c r="J340" i="10"/>
  <c r="BE340" i="10" s="1"/>
  <c r="P340" i="10"/>
  <c r="R340" i="10"/>
  <c r="T340" i="10"/>
  <c r="BF340" i="10"/>
  <c r="BG340" i="10"/>
  <c r="BH340" i="10"/>
  <c r="BI340" i="10"/>
  <c r="BK340" i="10"/>
  <c r="J341" i="10"/>
  <c r="P341" i="10"/>
  <c r="R341" i="10"/>
  <c r="T341" i="10"/>
  <c r="BE341" i="10"/>
  <c r="BF341" i="10"/>
  <c r="BG341" i="10"/>
  <c r="BH341" i="10"/>
  <c r="BI341" i="10"/>
  <c r="BK341" i="10"/>
  <c r="J345" i="10"/>
  <c r="P345" i="10"/>
  <c r="R345" i="10"/>
  <c r="T345" i="10"/>
  <c r="BE345" i="10"/>
  <c r="BF345" i="10"/>
  <c r="BG345" i="10"/>
  <c r="BH345" i="10"/>
  <c r="BI345" i="10"/>
  <c r="BK345" i="10"/>
  <c r="J346" i="10"/>
  <c r="P346" i="10"/>
  <c r="R346" i="10"/>
  <c r="T346" i="10"/>
  <c r="BE346" i="10"/>
  <c r="BF346" i="10"/>
  <c r="BG346" i="10"/>
  <c r="BH346" i="10"/>
  <c r="BI346" i="10"/>
  <c r="BK346" i="10"/>
  <c r="J350" i="10"/>
  <c r="BE350" i="10" s="1"/>
  <c r="P350" i="10"/>
  <c r="R350" i="10"/>
  <c r="T350" i="10"/>
  <c r="BF350" i="10"/>
  <c r="BG350" i="10"/>
  <c r="BH350" i="10"/>
  <c r="BI350" i="10"/>
  <c r="BK350" i="10"/>
  <c r="J351" i="10"/>
  <c r="P351" i="10"/>
  <c r="R351" i="10"/>
  <c r="T351" i="10"/>
  <c r="BE351" i="10"/>
  <c r="BF351" i="10"/>
  <c r="BG351" i="10"/>
  <c r="BH351" i="10"/>
  <c r="BI351" i="10"/>
  <c r="BK351" i="10"/>
  <c r="J355" i="10"/>
  <c r="P355" i="10"/>
  <c r="R355" i="10"/>
  <c r="T355" i="10"/>
  <c r="BE355" i="10"/>
  <c r="BF355" i="10"/>
  <c r="BG355" i="10"/>
  <c r="BH355" i="10"/>
  <c r="BI355" i="10"/>
  <c r="BK355" i="10"/>
  <c r="J356" i="10"/>
  <c r="P356" i="10"/>
  <c r="R356" i="10"/>
  <c r="T356" i="10"/>
  <c r="BE356" i="10"/>
  <c r="BF356" i="10"/>
  <c r="BG356" i="10"/>
  <c r="BH356" i="10"/>
  <c r="BI356" i="10"/>
  <c r="BK356" i="10"/>
  <c r="J360" i="10"/>
  <c r="BE360" i="10" s="1"/>
  <c r="P360" i="10"/>
  <c r="R360" i="10"/>
  <c r="T360" i="10"/>
  <c r="BF360" i="10"/>
  <c r="BG360" i="10"/>
  <c r="BH360" i="10"/>
  <c r="BI360" i="10"/>
  <c r="BK360" i="10"/>
  <c r="J361" i="10"/>
  <c r="P361" i="10"/>
  <c r="R361" i="10"/>
  <c r="T361" i="10"/>
  <c r="BE361" i="10"/>
  <c r="BF361" i="10"/>
  <c r="BG361" i="10"/>
  <c r="BH361" i="10"/>
  <c r="BI361" i="10"/>
  <c r="BK361" i="10"/>
  <c r="J365" i="10"/>
  <c r="P365" i="10"/>
  <c r="R365" i="10"/>
  <c r="T365" i="10"/>
  <c r="BE365" i="10"/>
  <c r="BF365" i="10"/>
  <c r="BG365" i="10"/>
  <c r="BH365" i="10"/>
  <c r="BI365" i="10"/>
  <c r="BK365" i="10"/>
  <c r="J366" i="10"/>
  <c r="P366" i="10"/>
  <c r="R366" i="10"/>
  <c r="T366" i="10"/>
  <c r="BE366" i="10"/>
  <c r="BF366" i="10"/>
  <c r="BG366" i="10"/>
  <c r="BH366" i="10"/>
  <c r="BI366" i="10"/>
  <c r="BK366" i="10"/>
  <c r="J370" i="10"/>
  <c r="BE370" i="10" s="1"/>
  <c r="P370" i="10"/>
  <c r="R370" i="10"/>
  <c r="T370" i="10"/>
  <c r="BF370" i="10"/>
  <c r="BG370" i="10"/>
  <c r="BH370" i="10"/>
  <c r="BI370" i="10"/>
  <c r="BK370" i="10"/>
  <c r="J371" i="10"/>
  <c r="P371" i="10"/>
  <c r="R371" i="10"/>
  <c r="T371" i="10"/>
  <c r="BE371" i="10"/>
  <c r="BF371" i="10"/>
  <c r="BG371" i="10"/>
  <c r="BH371" i="10"/>
  <c r="BI371" i="10"/>
  <c r="BK371" i="10"/>
  <c r="J375" i="10"/>
  <c r="P375" i="10"/>
  <c r="R375" i="10"/>
  <c r="T375" i="10"/>
  <c r="BE375" i="10"/>
  <c r="BF375" i="10"/>
  <c r="BG375" i="10"/>
  <c r="BH375" i="10"/>
  <c r="BI375" i="10"/>
  <c r="BK375" i="10"/>
  <c r="J376" i="10"/>
  <c r="P376" i="10"/>
  <c r="R376" i="10"/>
  <c r="T376" i="10"/>
  <c r="BE376" i="10"/>
  <c r="BF376" i="10"/>
  <c r="BG376" i="10"/>
  <c r="BH376" i="10"/>
  <c r="BI376" i="10"/>
  <c r="BK376" i="10"/>
  <c r="J380" i="10"/>
  <c r="BE380" i="10" s="1"/>
  <c r="P380" i="10"/>
  <c r="R380" i="10"/>
  <c r="T380" i="10"/>
  <c r="BF380" i="10"/>
  <c r="BG380" i="10"/>
  <c r="BH380" i="10"/>
  <c r="BI380" i="10"/>
  <c r="BK380" i="10"/>
  <c r="J381" i="10"/>
  <c r="P381" i="10"/>
  <c r="R381" i="10"/>
  <c r="T381" i="10"/>
  <c r="BE381" i="10"/>
  <c r="BF381" i="10"/>
  <c r="BG381" i="10"/>
  <c r="BH381" i="10"/>
  <c r="BI381" i="10"/>
  <c r="BK381" i="10"/>
  <c r="J385" i="10"/>
  <c r="P385" i="10"/>
  <c r="R385" i="10"/>
  <c r="T385" i="10"/>
  <c r="BE385" i="10"/>
  <c r="BF385" i="10"/>
  <c r="BG385" i="10"/>
  <c r="BH385" i="10"/>
  <c r="BI385" i="10"/>
  <c r="BK385" i="10"/>
  <c r="J386" i="10"/>
  <c r="P386" i="10"/>
  <c r="R386" i="10"/>
  <c r="T386" i="10"/>
  <c r="BE386" i="10"/>
  <c r="BF386" i="10"/>
  <c r="BG386" i="10"/>
  <c r="BH386" i="10"/>
  <c r="BI386" i="10"/>
  <c r="BK386" i="10"/>
  <c r="J390" i="10"/>
  <c r="BE390" i="10" s="1"/>
  <c r="P390" i="10"/>
  <c r="R390" i="10"/>
  <c r="T390" i="10"/>
  <c r="BF390" i="10"/>
  <c r="BG390" i="10"/>
  <c r="BH390" i="10"/>
  <c r="BI390" i="10"/>
  <c r="BK390" i="10"/>
  <c r="J391" i="10"/>
  <c r="P391" i="10"/>
  <c r="R391" i="10"/>
  <c r="T391" i="10"/>
  <c r="BE391" i="10"/>
  <c r="BF391" i="10"/>
  <c r="BG391" i="10"/>
  <c r="BH391" i="10"/>
  <c r="BI391" i="10"/>
  <c r="BK391" i="10"/>
  <c r="J395" i="10"/>
  <c r="P395" i="10"/>
  <c r="R395" i="10"/>
  <c r="T395" i="10"/>
  <c r="BE395" i="10"/>
  <c r="BF395" i="10"/>
  <c r="BG395" i="10"/>
  <c r="BH395" i="10"/>
  <c r="BI395" i="10"/>
  <c r="BK395" i="10"/>
  <c r="J396" i="10"/>
  <c r="P396" i="10"/>
  <c r="R396" i="10"/>
  <c r="T396" i="10"/>
  <c r="BE396" i="10"/>
  <c r="BF396" i="10"/>
  <c r="BG396" i="10"/>
  <c r="BH396" i="10"/>
  <c r="BI396" i="10"/>
  <c r="BK396" i="10"/>
  <c r="J401" i="10"/>
  <c r="BE401" i="10" s="1"/>
  <c r="P401" i="10"/>
  <c r="R401" i="10"/>
  <c r="T401" i="10"/>
  <c r="BF401" i="10"/>
  <c r="BG401" i="10"/>
  <c r="BH401" i="10"/>
  <c r="BI401" i="10"/>
  <c r="BK401" i="10"/>
  <c r="J406" i="10"/>
  <c r="P406" i="10"/>
  <c r="R406" i="10"/>
  <c r="T406" i="10"/>
  <c r="BE406" i="10"/>
  <c r="BF406" i="10"/>
  <c r="BG406" i="10"/>
  <c r="BH406" i="10"/>
  <c r="BI406" i="10"/>
  <c r="BK406" i="10"/>
  <c r="J411" i="10"/>
  <c r="P411" i="10"/>
  <c r="R411" i="10"/>
  <c r="T411" i="10"/>
  <c r="BE411" i="10"/>
  <c r="BF411" i="10"/>
  <c r="BG411" i="10"/>
  <c r="BH411" i="10"/>
  <c r="BI411" i="10"/>
  <c r="BK411" i="10"/>
  <c r="J416" i="10"/>
  <c r="P416" i="10"/>
  <c r="R416" i="10"/>
  <c r="T416" i="10"/>
  <c r="BE416" i="10"/>
  <c r="BF416" i="10"/>
  <c r="BG416" i="10"/>
  <c r="BH416" i="10"/>
  <c r="BI416" i="10"/>
  <c r="BK416" i="10"/>
  <c r="J421" i="10"/>
  <c r="BE421" i="10" s="1"/>
  <c r="P421" i="10"/>
  <c r="R421" i="10"/>
  <c r="T421" i="10"/>
  <c r="BF421" i="10"/>
  <c r="BG421" i="10"/>
  <c r="BH421" i="10"/>
  <c r="BI421" i="10"/>
  <c r="BK421" i="10"/>
  <c r="J425" i="10"/>
  <c r="P425" i="10"/>
  <c r="R425" i="10"/>
  <c r="T425" i="10"/>
  <c r="BE425" i="10"/>
  <c r="BF425" i="10"/>
  <c r="BG425" i="10"/>
  <c r="BH425" i="10"/>
  <c r="BI425" i="10"/>
  <c r="BK425" i="10"/>
  <c r="J430" i="10"/>
  <c r="P430" i="10"/>
  <c r="R430" i="10"/>
  <c r="T430" i="10"/>
  <c r="BE430" i="10"/>
  <c r="BF430" i="10"/>
  <c r="BG430" i="10"/>
  <c r="BH430" i="10"/>
  <c r="BI430" i="10"/>
  <c r="BK430" i="10"/>
  <c r="J431" i="10"/>
  <c r="P431" i="10"/>
  <c r="R431" i="10"/>
  <c r="T431" i="10"/>
  <c r="BE431" i="10"/>
  <c r="BF431" i="10"/>
  <c r="BG431" i="10"/>
  <c r="BH431" i="10"/>
  <c r="BI431" i="10"/>
  <c r="BK431" i="10"/>
  <c r="J432" i="10"/>
  <c r="BE432" i="10" s="1"/>
  <c r="P432" i="10"/>
  <c r="R432" i="10"/>
  <c r="T432" i="10"/>
  <c r="BF432" i="10"/>
  <c r="BG432" i="10"/>
  <c r="BH432" i="10"/>
  <c r="BI432" i="10"/>
  <c r="BK432" i="10"/>
  <c r="J435" i="10"/>
  <c r="P435" i="10"/>
  <c r="R435" i="10"/>
  <c r="T435" i="10"/>
  <c r="BE435" i="10"/>
  <c r="BF435" i="10"/>
  <c r="BG435" i="10"/>
  <c r="BH435" i="10"/>
  <c r="BI435" i="10"/>
  <c r="BK435" i="10"/>
  <c r="J438" i="10"/>
  <c r="P438" i="10"/>
  <c r="R438" i="10"/>
  <c r="T438" i="10"/>
  <c r="BE438" i="10"/>
  <c r="BF438" i="10"/>
  <c r="BG438" i="10"/>
  <c r="BH438" i="10"/>
  <c r="BI438" i="10"/>
  <c r="BK438" i="10"/>
  <c r="J440" i="10"/>
  <c r="P440" i="10"/>
  <c r="R440" i="10"/>
  <c r="T440" i="10"/>
  <c r="BE440" i="10"/>
  <c r="BF440" i="10"/>
  <c r="BG440" i="10"/>
  <c r="BH440" i="10"/>
  <c r="BI440" i="10"/>
  <c r="BK440" i="10"/>
  <c r="J442" i="10"/>
  <c r="BE442" i="10" s="1"/>
  <c r="P442" i="10"/>
  <c r="R442" i="10"/>
  <c r="T442" i="10"/>
  <c r="BF442" i="10"/>
  <c r="BG442" i="10"/>
  <c r="BH442" i="10"/>
  <c r="BI442" i="10"/>
  <c r="BK442" i="10"/>
  <c r="J444" i="10"/>
  <c r="P444" i="10"/>
  <c r="R444" i="10"/>
  <c r="T444" i="10"/>
  <c r="BE444" i="10"/>
  <c r="BF444" i="10"/>
  <c r="BG444" i="10"/>
  <c r="BH444" i="10"/>
  <c r="BI444" i="10"/>
  <c r="BK444" i="10"/>
  <c r="J446" i="10"/>
  <c r="P446" i="10"/>
  <c r="R446" i="10"/>
  <c r="T446" i="10"/>
  <c r="BE446" i="10"/>
  <c r="BF446" i="10"/>
  <c r="BG446" i="10"/>
  <c r="BH446" i="10"/>
  <c r="BI446" i="10"/>
  <c r="BK446" i="10"/>
  <c r="R447" i="10"/>
  <c r="J448" i="10"/>
  <c r="P448" i="10"/>
  <c r="R448" i="10"/>
  <c r="T448" i="10"/>
  <c r="T447" i="10" s="1"/>
  <c r="BE448" i="10"/>
  <c r="BF448" i="10"/>
  <c r="BG448" i="10"/>
  <c r="BH448" i="10"/>
  <c r="BI448" i="10"/>
  <c r="BK448" i="10"/>
  <c r="BK447" i="10" s="1"/>
  <c r="J447" i="10" s="1"/>
  <c r="J69" i="10" s="1"/>
  <c r="J451" i="10"/>
  <c r="P451" i="10"/>
  <c r="R451" i="10"/>
  <c r="T451" i="10"/>
  <c r="BE451" i="10"/>
  <c r="BF451" i="10"/>
  <c r="BG451" i="10"/>
  <c r="BH451" i="10"/>
  <c r="BI451" i="10"/>
  <c r="BK451" i="10"/>
  <c r="J452" i="10"/>
  <c r="BE452" i="10" s="1"/>
  <c r="P452" i="10"/>
  <c r="P447" i="10" s="1"/>
  <c r="R452" i="10"/>
  <c r="T452" i="10"/>
  <c r="BF452" i="10"/>
  <c r="BG452" i="10"/>
  <c r="BH452" i="10"/>
  <c r="BI452" i="10"/>
  <c r="BK452" i="10"/>
  <c r="J453" i="10"/>
  <c r="P453" i="10"/>
  <c r="R453" i="10"/>
  <c r="T453" i="10"/>
  <c r="BE453" i="10"/>
  <c r="BF453" i="10"/>
  <c r="BG453" i="10"/>
  <c r="BH453" i="10"/>
  <c r="BI453" i="10"/>
  <c r="BK453" i="10"/>
  <c r="J456" i="10"/>
  <c r="P456" i="10"/>
  <c r="R456" i="10"/>
  <c r="T456" i="10"/>
  <c r="BE456" i="10"/>
  <c r="BF456" i="10"/>
  <c r="BG456" i="10"/>
  <c r="BH456" i="10"/>
  <c r="BI456" i="10"/>
  <c r="BK456" i="10"/>
  <c r="J459" i="10"/>
  <c r="P459" i="10"/>
  <c r="R459" i="10"/>
  <c r="T459" i="10"/>
  <c r="BE459" i="10"/>
  <c r="BF459" i="10"/>
  <c r="BG459" i="10"/>
  <c r="BH459" i="10"/>
  <c r="BI459" i="10"/>
  <c r="BK459" i="10"/>
  <c r="J460" i="10"/>
  <c r="BE460" i="10" s="1"/>
  <c r="P460" i="10"/>
  <c r="R460" i="10"/>
  <c r="T460" i="10"/>
  <c r="BF460" i="10"/>
  <c r="BG460" i="10"/>
  <c r="BH460" i="10"/>
  <c r="BI460" i="10"/>
  <c r="BK460" i="10"/>
  <c r="J464" i="10"/>
  <c r="BE464" i="10" s="1"/>
  <c r="P464" i="10"/>
  <c r="R464" i="10"/>
  <c r="T464" i="10"/>
  <c r="BF464" i="10"/>
  <c r="BG464" i="10"/>
  <c r="BH464" i="10"/>
  <c r="BI464" i="10"/>
  <c r="BK464" i="10"/>
  <c r="J465" i="10"/>
  <c r="P465" i="10"/>
  <c r="R465" i="10"/>
  <c r="T465" i="10"/>
  <c r="BE465" i="10"/>
  <c r="BF465" i="10"/>
  <c r="BG465" i="10"/>
  <c r="BH465" i="10"/>
  <c r="BI465" i="10"/>
  <c r="BK465" i="10"/>
  <c r="J468" i="10"/>
  <c r="P468" i="10"/>
  <c r="R468" i="10"/>
  <c r="T468" i="10"/>
  <c r="BE468" i="10"/>
  <c r="BF468" i="10"/>
  <c r="BG468" i="10"/>
  <c r="BH468" i="10"/>
  <c r="BI468" i="10"/>
  <c r="BK468" i="10"/>
  <c r="J469" i="10"/>
  <c r="BE469" i="10" s="1"/>
  <c r="P469" i="10"/>
  <c r="R469" i="10"/>
  <c r="T469" i="10"/>
  <c r="BF469" i="10"/>
  <c r="BG469" i="10"/>
  <c r="BH469" i="10"/>
  <c r="BI469" i="10"/>
  <c r="BK469" i="10"/>
  <c r="J472" i="10"/>
  <c r="P472" i="10"/>
  <c r="R472" i="10"/>
  <c r="T472" i="10"/>
  <c r="BE472" i="10"/>
  <c r="BF472" i="10"/>
  <c r="BG472" i="10"/>
  <c r="BH472" i="10"/>
  <c r="BI472" i="10"/>
  <c r="BK472" i="10"/>
  <c r="J475" i="10"/>
  <c r="P475" i="10"/>
  <c r="R475" i="10"/>
  <c r="T475" i="10"/>
  <c r="BE475" i="10"/>
  <c r="BF475" i="10"/>
  <c r="BG475" i="10"/>
  <c r="BH475" i="10"/>
  <c r="BI475" i="10"/>
  <c r="BK475" i="10"/>
  <c r="J478" i="10"/>
  <c r="P478" i="10"/>
  <c r="R478" i="10"/>
  <c r="T478" i="10"/>
  <c r="BE478" i="10"/>
  <c r="BF478" i="10"/>
  <c r="BG478" i="10"/>
  <c r="BH478" i="10"/>
  <c r="BI478" i="10"/>
  <c r="BK478" i="10"/>
  <c r="J481" i="10"/>
  <c r="BE481" i="10" s="1"/>
  <c r="P481" i="10"/>
  <c r="R481" i="10"/>
  <c r="T481" i="10"/>
  <c r="BF481" i="10"/>
  <c r="BG481" i="10"/>
  <c r="BH481" i="10"/>
  <c r="BI481" i="10"/>
  <c r="BK481" i="10"/>
  <c r="J482" i="10"/>
  <c r="BE482" i="10" s="1"/>
  <c r="P482" i="10"/>
  <c r="R482" i="10"/>
  <c r="T482" i="10"/>
  <c r="BF482" i="10"/>
  <c r="BG482" i="10"/>
  <c r="BH482" i="10"/>
  <c r="BI482" i="10"/>
  <c r="BK482" i="10"/>
  <c r="J485" i="10"/>
  <c r="P485" i="10"/>
  <c r="R485" i="10"/>
  <c r="T485" i="10"/>
  <c r="BE485" i="10"/>
  <c r="BF485" i="10"/>
  <c r="BG485" i="10"/>
  <c r="BH485" i="10"/>
  <c r="BI485" i="10"/>
  <c r="BK485" i="10"/>
  <c r="J486" i="10"/>
  <c r="P486" i="10"/>
  <c r="R486" i="10"/>
  <c r="T486" i="10"/>
  <c r="BE486" i="10"/>
  <c r="BF486" i="10"/>
  <c r="BG486" i="10"/>
  <c r="BH486" i="10"/>
  <c r="BI486" i="10"/>
  <c r="BK486" i="10"/>
  <c r="J489" i="10"/>
  <c r="BE489" i="10" s="1"/>
  <c r="P489" i="10"/>
  <c r="R489" i="10"/>
  <c r="T489" i="10"/>
  <c r="BF489" i="10"/>
  <c r="BG489" i="10"/>
  <c r="BH489" i="10"/>
  <c r="BI489" i="10"/>
  <c r="BK489" i="10"/>
  <c r="J490" i="10"/>
  <c r="P490" i="10"/>
  <c r="R490" i="10"/>
  <c r="T490" i="10"/>
  <c r="BE490" i="10"/>
  <c r="BF490" i="10"/>
  <c r="BG490" i="10"/>
  <c r="BH490" i="10"/>
  <c r="BI490" i="10"/>
  <c r="BK490" i="10"/>
  <c r="J491" i="10"/>
  <c r="P491" i="10"/>
  <c r="R491" i="10"/>
  <c r="T491" i="10"/>
  <c r="BE491" i="10"/>
  <c r="BF491" i="10"/>
  <c r="BG491" i="10"/>
  <c r="BH491" i="10"/>
  <c r="BI491" i="10"/>
  <c r="BK491" i="10"/>
  <c r="J494" i="10"/>
  <c r="P494" i="10"/>
  <c r="R494" i="10"/>
  <c r="T494" i="10"/>
  <c r="BE494" i="10"/>
  <c r="BF494" i="10"/>
  <c r="BG494" i="10"/>
  <c r="BH494" i="10"/>
  <c r="BI494" i="10"/>
  <c r="BK494" i="10"/>
  <c r="P497" i="10"/>
  <c r="J498" i="10"/>
  <c r="P498" i="10"/>
  <c r="R498" i="10"/>
  <c r="T498" i="10"/>
  <c r="T497" i="10" s="1"/>
  <c r="BE498" i="10"/>
  <c r="BF498" i="10"/>
  <c r="BG498" i="10"/>
  <c r="BH498" i="10"/>
  <c r="BI498" i="10"/>
  <c r="BK498" i="10"/>
  <c r="J501" i="10"/>
  <c r="P501" i="10"/>
  <c r="R501" i="10"/>
  <c r="R497" i="10" s="1"/>
  <c r="T501" i="10"/>
  <c r="BE501" i="10"/>
  <c r="BF501" i="10"/>
  <c r="BG501" i="10"/>
  <c r="BH501" i="10"/>
  <c r="BI501" i="10"/>
  <c r="BK501" i="10"/>
  <c r="BK497" i="10" s="1"/>
  <c r="J497" i="10" s="1"/>
  <c r="J70" i="10" s="1"/>
  <c r="J502" i="10"/>
  <c r="BE502" i="10" s="1"/>
  <c r="P502" i="10"/>
  <c r="R502" i="10"/>
  <c r="T502" i="10"/>
  <c r="BF502" i="10"/>
  <c r="BG502" i="10"/>
  <c r="BH502" i="10"/>
  <c r="BI502" i="10"/>
  <c r="BK502" i="10"/>
  <c r="J503" i="10"/>
  <c r="BE503" i="10" s="1"/>
  <c r="P503" i="10"/>
  <c r="R503" i="10"/>
  <c r="T503" i="10"/>
  <c r="BF503" i="10"/>
  <c r="BG503" i="10"/>
  <c r="BH503" i="10"/>
  <c r="BI503" i="10"/>
  <c r="BK503" i="10"/>
  <c r="J504" i="10"/>
  <c r="P504" i="10"/>
  <c r="R504" i="10"/>
  <c r="T504" i="10"/>
  <c r="BE504" i="10"/>
  <c r="BF504" i="10"/>
  <c r="BG504" i="10"/>
  <c r="BH504" i="10"/>
  <c r="BI504" i="10"/>
  <c r="BK504" i="10"/>
  <c r="J507" i="10"/>
  <c r="P507" i="10"/>
  <c r="R507" i="10"/>
  <c r="T507" i="10"/>
  <c r="BE507" i="10"/>
  <c r="BF507" i="10"/>
  <c r="BG507" i="10"/>
  <c r="BH507" i="10"/>
  <c r="BI507" i="10"/>
  <c r="BK507" i="10"/>
  <c r="J511" i="10"/>
  <c r="BE511" i="10" s="1"/>
  <c r="P511" i="10"/>
  <c r="R511" i="10"/>
  <c r="T511" i="10"/>
  <c r="BF511" i="10"/>
  <c r="BG511" i="10"/>
  <c r="BH511" i="10"/>
  <c r="BI511" i="10"/>
  <c r="BK511" i="10"/>
  <c r="J512" i="10"/>
  <c r="P512" i="10"/>
  <c r="R512" i="10"/>
  <c r="T512" i="10"/>
  <c r="BE512" i="10"/>
  <c r="BF512" i="10"/>
  <c r="BG512" i="10"/>
  <c r="BH512" i="10"/>
  <c r="BI512" i="10"/>
  <c r="BK512" i="10"/>
  <c r="J515" i="10"/>
  <c r="P515" i="10"/>
  <c r="R515" i="10"/>
  <c r="T515" i="10"/>
  <c r="BE515" i="10"/>
  <c r="BF515" i="10"/>
  <c r="BG515" i="10"/>
  <c r="BH515" i="10"/>
  <c r="BI515" i="10"/>
  <c r="BK515" i="10"/>
  <c r="J516" i="10"/>
  <c r="P516" i="10"/>
  <c r="R516" i="10"/>
  <c r="T516" i="10"/>
  <c r="BE516" i="10"/>
  <c r="BF516" i="10"/>
  <c r="BG516" i="10"/>
  <c r="BH516" i="10"/>
  <c r="BI516" i="10"/>
  <c r="BK516" i="10"/>
  <c r="J519" i="10"/>
  <c r="BE519" i="10" s="1"/>
  <c r="P519" i="10"/>
  <c r="R519" i="10"/>
  <c r="T519" i="10"/>
  <c r="BF519" i="10"/>
  <c r="BG519" i="10"/>
  <c r="BH519" i="10"/>
  <c r="BI519" i="10"/>
  <c r="BK519" i="10"/>
  <c r="J522" i="10"/>
  <c r="P522" i="10"/>
  <c r="R522" i="10"/>
  <c r="T522" i="10"/>
  <c r="BE522" i="10"/>
  <c r="BF522" i="10"/>
  <c r="BG522" i="10"/>
  <c r="BH522" i="10"/>
  <c r="BI522" i="10"/>
  <c r="BK522" i="10"/>
  <c r="J525" i="10"/>
  <c r="P525" i="10"/>
  <c r="R525" i="10"/>
  <c r="T525" i="10"/>
  <c r="BE525" i="10"/>
  <c r="BF525" i="10"/>
  <c r="BG525" i="10"/>
  <c r="BH525" i="10"/>
  <c r="BI525" i="10"/>
  <c r="BK525" i="10"/>
  <c r="J528" i="10"/>
  <c r="P528" i="10"/>
  <c r="R528" i="10"/>
  <c r="T528" i="10"/>
  <c r="BE528" i="10"/>
  <c r="BF528" i="10"/>
  <c r="BG528" i="10"/>
  <c r="BH528" i="10"/>
  <c r="BI528" i="10"/>
  <c r="BK528" i="10"/>
  <c r="J529" i="10"/>
  <c r="BE529" i="10" s="1"/>
  <c r="P529" i="10"/>
  <c r="R529" i="10"/>
  <c r="T529" i="10"/>
  <c r="BF529" i="10"/>
  <c r="BG529" i="10"/>
  <c r="BH529" i="10"/>
  <c r="BI529" i="10"/>
  <c r="BK529" i="10"/>
  <c r="J532" i="10"/>
  <c r="P532" i="10"/>
  <c r="R532" i="10"/>
  <c r="T532" i="10"/>
  <c r="BE532" i="10"/>
  <c r="BF532" i="10"/>
  <c r="BG532" i="10"/>
  <c r="BH532" i="10"/>
  <c r="BI532" i="10"/>
  <c r="BK532" i="10"/>
  <c r="J533" i="10"/>
  <c r="P533" i="10"/>
  <c r="R533" i="10"/>
  <c r="T533" i="10"/>
  <c r="BE533" i="10"/>
  <c r="BF533" i="10"/>
  <c r="BG533" i="10"/>
  <c r="BH533" i="10"/>
  <c r="BI533" i="10"/>
  <c r="BK533" i="10"/>
  <c r="J536" i="10"/>
  <c r="P536" i="10"/>
  <c r="R536" i="10"/>
  <c r="T536" i="10"/>
  <c r="BE536" i="10"/>
  <c r="BF536" i="10"/>
  <c r="BG536" i="10"/>
  <c r="BH536" i="10"/>
  <c r="BI536" i="10"/>
  <c r="BK536" i="10"/>
  <c r="J537" i="10"/>
  <c r="BE537" i="10" s="1"/>
  <c r="P537" i="10"/>
  <c r="R537" i="10"/>
  <c r="T537" i="10"/>
  <c r="BF537" i="10"/>
  <c r="BG537" i="10"/>
  <c r="BH537" i="10"/>
  <c r="BI537" i="10"/>
  <c r="BK537" i="10"/>
  <c r="J538" i="10"/>
  <c r="P538" i="10"/>
  <c r="R538" i="10"/>
  <c r="T538" i="10"/>
  <c r="BE538" i="10"/>
  <c r="BF538" i="10"/>
  <c r="BG538" i="10"/>
  <c r="BH538" i="10"/>
  <c r="BI538" i="10"/>
  <c r="BK538" i="10"/>
  <c r="J541" i="10"/>
  <c r="P541" i="10"/>
  <c r="R541" i="10"/>
  <c r="T541" i="10"/>
  <c r="BE541" i="10"/>
  <c r="BF541" i="10"/>
  <c r="BG541" i="10"/>
  <c r="BH541" i="10"/>
  <c r="BI541" i="10"/>
  <c r="BK541" i="10"/>
  <c r="R544" i="10"/>
  <c r="J545" i="10"/>
  <c r="P545" i="10"/>
  <c r="R545" i="10"/>
  <c r="T545" i="10"/>
  <c r="T544" i="10" s="1"/>
  <c r="BE545" i="10"/>
  <c r="BF545" i="10"/>
  <c r="BG545" i="10"/>
  <c r="BH545" i="10"/>
  <c r="BI545" i="10"/>
  <c r="BK545" i="10"/>
  <c r="BK544" i="10" s="1"/>
  <c r="J544" i="10" s="1"/>
  <c r="J71" i="10" s="1"/>
  <c r="J549" i="10"/>
  <c r="P549" i="10"/>
  <c r="R549" i="10"/>
  <c r="T549" i="10"/>
  <c r="BE549" i="10"/>
  <c r="BF549" i="10"/>
  <c r="BG549" i="10"/>
  <c r="BH549" i="10"/>
  <c r="BI549" i="10"/>
  <c r="BK549" i="10"/>
  <c r="J550" i="10"/>
  <c r="BE550" i="10" s="1"/>
  <c r="P550" i="10"/>
  <c r="P544" i="10" s="1"/>
  <c r="R550" i="10"/>
  <c r="T550" i="10"/>
  <c r="BF550" i="10"/>
  <c r="BG550" i="10"/>
  <c r="BH550" i="10"/>
  <c r="BI550" i="10"/>
  <c r="BK550" i="10"/>
  <c r="J554" i="10"/>
  <c r="P554" i="10"/>
  <c r="R554" i="10"/>
  <c r="T554" i="10"/>
  <c r="BE554" i="10"/>
  <c r="BF554" i="10"/>
  <c r="BG554" i="10"/>
  <c r="BH554" i="10"/>
  <c r="BI554" i="10"/>
  <c r="BK554" i="10"/>
  <c r="J555" i="10"/>
  <c r="P555" i="10"/>
  <c r="R555" i="10"/>
  <c r="T555" i="10"/>
  <c r="BE555" i="10"/>
  <c r="BF555" i="10"/>
  <c r="BG555" i="10"/>
  <c r="BH555" i="10"/>
  <c r="BI555" i="10"/>
  <c r="BK555" i="10"/>
  <c r="J560" i="10"/>
  <c r="P560" i="10"/>
  <c r="R560" i="10"/>
  <c r="T560" i="10"/>
  <c r="BE560" i="10"/>
  <c r="BF560" i="10"/>
  <c r="BG560" i="10"/>
  <c r="BH560" i="10"/>
  <c r="BI560" i="10"/>
  <c r="BK560" i="10"/>
  <c r="J565" i="10"/>
  <c r="BE565" i="10" s="1"/>
  <c r="P565" i="10"/>
  <c r="R565" i="10"/>
  <c r="T565" i="10"/>
  <c r="BF565" i="10"/>
  <c r="BG565" i="10"/>
  <c r="BH565" i="10"/>
  <c r="BI565" i="10"/>
  <c r="BK565" i="10"/>
  <c r="J566" i="10"/>
  <c r="P566" i="10"/>
  <c r="R566" i="10"/>
  <c r="T566" i="10"/>
  <c r="BE566" i="10"/>
  <c r="BF566" i="10"/>
  <c r="BG566" i="10"/>
  <c r="BH566" i="10"/>
  <c r="BI566" i="10"/>
  <c r="BK566" i="10"/>
  <c r="J569" i="10"/>
  <c r="P569" i="10"/>
  <c r="R569" i="10"/>
  <c r="T569" i="10"/>
  <c r="BE569" i="10"/>
  <c r="BF569" i="10"/>
  <c r="BG569" i="10"/>
  <c r="BH569" i="10"/>
  <c r="BI569" i="10"/>
  <c r="BK569" i="10"/>
  <c r="AX54" i="11" l="1"/>
  <c r="W31" i="11"/>
  <c r="AV54" i="11"/>
  <c r="W29" i="11"/>
  <c r="W30" i="11"/>
  <c r="AW54" i="11"/>
  <c r="AK30" i="11" s="1"/>
  <c r="F88" i="10"/>
  <c r="J52" i="10"/>
  <c r="AG54" i="11"/>
  <c r="BK123" i="10"/>
  <c r="J123" i="10" s="1"/>
  <c r="J64" i="10" s="1"/>
  <c r="J124" i="10"/>
  <c r="J65" i="10" s="1"/>
  <c r="P123" i="10"/>
  <c r="BK92" i="10"/>
  <c r="J93" i="10"/>
  <c r="J61" i="10" s="1"/>
  <c r="R123" i="10"/>
  <c r="F33" i="10"/>
  <c r="P92" i="10"/>
  <c r="R92" i="10"/>
  <c r="R91" i="10" s="1"/>
  <c r="T123" i="10"/>
  <c r="T91" i="10" s="1"/>
  <c r="J34" i="10"/>
  <c r="J55" i="10"/>
  <c r="J33" i="10"/>
  <c r="AK29" i="11" l="1"/>
  <c r="AT54" i="11"/>
  <c r="AK26" i="11"/>
  <c r="AK35" i="11" s="1"/>
  <c r="AN54" i="11"/>
  <c r="J92" i="10"/>
  <c r="J60" i="10" s="1"/>
  <c r="BK91" i="10"/>
  <c r="J91" i="10" s="1"/>
  <c r="P91" i="10"/>
  <c r="J30" i="10" l="1"/>
  <c r="J39" i="10" s="1"/>
  <c r="J59" i="10"/>
  <c r="M14" i="6" l="1"/>
  <c r="AL14" i="6" s="1"/>
  <c r="F15" i="9"/>
  <c r="I3" i="8"/>
  <c r="I4" i="8"/>
  <c r="I5" i="8"/>
  <c r="I6" i="8"/>
  <c r="I7" i="8"/>
  <c r="I8" i="8"/>
  <c r="I9" i="8"/>
  <c r="D2" i="7"/>
  <c r="H2" i="7"/>
  <c r="J2" i="7"/>
  <c r="D4" i="7"/>
  <c r="H4" i="7"/>
  <c r="J4" i="7"/>
  <c r="D6" i="7"/>
  <c r="H6" i="7"/>
  <c r="J6" i="7"/>
  <c r="D8" i="7"/>
  <c r="H8" i="7"/>
  <c r="J8" i="7"/>
  <c r="N12" i="7"/>
  <c r="N13" i="7"/>
  <c r="N14" i="7"/>
  <c r="N15" i="7"/>
  <c r="N17" i="7"/>
  <c r="Z14" i="6"/>
  <c r="AD14" i="6"/>
  <c r="AE14" i="6"/>
  <c r="AF14" i="6"/>
  <c r="AG14" i="6"/>
  <c r="AH14" i="6"/>
  <c r="AJ14" i="6"/>
  <c r="AS13" i="6" s="1"/>
  <c r="AK14" i="6"/>
  <c r="AO14" i="6"/>
  <c r="AW14" i="6" s="1"/>
  <c r="AP14" i="6"/>
  <c r="AX14" i="6" s="1"/>
  <c r="BD14" i="6"/>
  <c r="BF14" i="6"/>
  <c r="BJ14" i="6"/>
  <c r="M16" i="6"/>
  <c r="Z16" i="6"/>
  <c r="AD16" i="6"/>
  <c r="AE16" i="6"/>
  <c r="AF16" i="6"/>
  <c r="AG16" i="6"/>
  <c r="AH16" i="6"/>
  <c r="AJ16" i="6"/>
  <c r="AK16" i="6"/>
  <c r="AL16" i="6"/>
  <c r="AO16" i="6"/>
  <c r="AP16" i="6"/>
  <c r="AW16" i="6"/>
  <c r="AV16" i="6" s="1"/>
  <c r="AX16" i="6"/>
  <c r="BD16" i="6"/>
  <c r="BF16" i="6"/>
  <c r="BH16" i="6"/>
  <c r="AB16" i="6" s="1"/>
  <c r="BI16" i="6"/>
  <c r="AC16" i="6" s="1"/>
  <c r="BJ16" i="6"/>
  <c r="M20" i="6"/>
  <c r="Z20" i="6"/>
  <c r="AD20" i="6"/>
  <c r="AE20" i="6"/>
  <c r="AF20" i="6"/>
  <c r="AG20" i="6"/>
  <c r="AH20" i="6"/>
  <c r="AJ20" i="6"/>
  <c r="AK20" i="6"/>
  <c r="AT19" i="6" s="1"/>
  <c r="AO20" i="6"/>
  <c r="AW20" i="6" s="1"/>
  <c r="AP20" i="6"/>
  <c r="AX20" i="6"/>
  <c r="BD20" i="6"/>
  <c r="BF20" i="6"/>
  <c r="BI20" i="6"/>
  <c r="AC20" i="6" s="1"/>
  <c r="BJ20" i="6"/>
  <c r="M22" i="6"/>
  <c r="Z22" i="6"/>
  <c r="AC22" i="6"/>
  <c r="AD22" i="6"/>
  <c r="AE22" i="6"/>
  <c r="AF22" i="6"/>
  <c r="AG22" i="6"/>
  <c r="AH22" i="6"/>
  <c r="AJ22" i="6"/>
  <c r="AS19" i="6" s="1"/>
  <c r="AK22" i="6"/>
  <c r="AL22" i="6"/>
  <c r="AO22" i="6"/>
  <c r="AW22" i="6" s="1"/>
  <c r="AV22" i="6" s="1"/>
  <c r="AP22" i="6"/>
  <c r="AX22" i="6" s="1"/>
  <c r="BC22" i="6"/>
  <c r="BD22" i="6"/>
  <c r="BF22" i="6"/>
  <c r="BH22" i="6"/>
  <c r="AB22" i="6" s="1"/>
  <c r="BI22" i="6"/>
  <c r="BJ22" i="6"/>
  <c r="AT24" i="6"/>
  <c r="M25" i="6"/>
  <c r="M24" i="6" s="1"/>
  <c r="Z25" i="6"/>
  <c r="AB25" i="6"/>
  <c r="AC25" i="6"/>
  <c r="AD25" i="6"/>
  <c r="AE25" i="6"/>
  <c r="AF25" i="6"/>
  <c r="AG25" i="6"/>
  <c r="AH25" i="6"/>
  <c r="AJ25" i="6"/>
  <c r="AS24" i="6" s="1"/>
  <c r="AK25" i="6"/>
  <c r="AL25" i="6"/>
  <c r="AU24" i="6" s="1"/>
  <c r="AO25" i="6"/>
  <c r="AP25" i="6"/>
  <c r="AV25" i="6"/>
  <c r="AW25" i="6"/>
  <c r="AX25" i="6"/>
  <c r="BC25" i="6" s="1"/>
  <c r="BD25" i="6"/>
  <c r="BF25" i="6"/>
  <c r="BH25" i="6"/>
  <c r="BI25" i="6"/>
  <c r="BJ25" i="6"/>
  <c r="AS28" i="6"/>
  <c r="AT28" i="6"/>
  <c r="M29" i="6"/>
  <c r="M28" i="6" s="1"/>
  <c r="Z29" i="6"/>
  <c r="AC29" i="6"/>
  <c r="AD29" i="6"/>
  <c r="AE29" i="6"/>
  <c r="AF29" i="6"/>
  <c r="AG29" i="6"/>
  <c r="AH29" i="6"/>
  <c r="AJ29" i="6"/>
  <c r="AK29" i="6"/>
  <c r="AL29" i="6"/>
  <c r="AU28" i="6" s="1"/>
  <c r="AO29" i="6"/>
  <c r="AP29" i="6"/>
  <c r="AW29" i="6"/>
  <c r="AV29" i="6" s="1"/>
  <c r="AX29" i="6"/>
  <c r="BD29" i="6"/>
  <c r="BF29" i="6"/>
  <c r="BH29" i="6"/>
  <c r="AB29" i="6" s="1"/>
  <c r="BI29" i="6"/>
  <c r="BJ29" i="6"/>
  <c r="M32" i="6"/>
  <c r="Z32" i="6"/>
  <c r="AD32" i="6"/>
  <c r="AE32" i="6"/>
  <c r="AF32" i="6"/>
  <c r="AG32" i="6"/>
  <c r="AH32" i="6"/>
  <c r="AJ32" i="6"/>
  <c r="AK32" i="6"/>
  <c r="AT31" i="6" s="1"/>
  <c r="AO32" i="6"/>
  <c r="AW32" i="6" s="1"/>
  <c r="AP32" i="6"/>
  <c r="AX32" i="6"/>
  <c r="BD32" i="6"/>
  <c r="BF32" i="6"/>
  <c r="BH32" i="6"/>
  <c r="AB32" i="6" s="1"/>
  <c r="BI32" i="6"/>
  <c r="AC32" i="6" s="1"/>
  <c r="BJ32" i="6"/>
  <c r="M35" i="6"/>
  <c r="Z35" i="6"/>
  <c r="AD35" i="6"/>
  <c r="AE35" i="6"/>
  <c r="AF35" i="6"/>
  <c r="AG35" i="6"/>
  <c r="AH35" i="6"/>
  <c r="AJ35" i="6"/>
  <c r="AS31" i="6" s="1"/>
  <c r="AK35" i="6"/>
  <c r="AL35" i="6"/>
  <c r="AO35" i="6"/>
  <c r="AW35" i="6" s="1"/>
  <c r="AV35" i="6" s="1"/>
  <c r="AP35" i="6"/>
  <c r="AX35" i="6" s="1"/>
  <c r="BC35" i="6"/>
  <c r="BD35" i="6"/>
  <c r="BF35" i="6"/>
  <c r="BH35" i="6"/>
  <c r="AB35" i="6" s="1"/>
  <c r="BI35" i="6"/>
  <c r="AC35" i="6" s="1"/>
  <c r="BJ35" i="6"/>
  <c r="M38" i="6"/>
  <c r="Z38" i="6"/>
  <c r="AB38" i="6"/>
  <c r="AC38" i="6"/>
  <c r="AD38" i="6"/>
  <c r="AE38" i="6"/>
  <c r="AF38" i="6"/>
  <c r="AG38" i="6"/>
  <c r="AH38" i="6"/>
  <c r="AJ38" i="6"/>
  <c r="AK38" i="6"/>
  <c r="AL38" i="6"/>
  <c r="AO38" i="6"/>
  <c r="AP38" i="6"/>
  <c r="AV38" i="6"/>
  <c r="AW38" i="6"/>
  <c r="AX38" i="6"/>
  <c r="BC38" i="6" s="1"/>
  <c r="BD38" i="6"/>
  <c r="BF38" i="6"/>
  <c r="BH38" i="6"/>
  <c r="BI38" i="6"/>
  <c r="BJ38" i="6"/>
  <c r="M40" i="6"/>
  <c r="Z40" i="6"/>
  <c r="AC40" i="6"/>
  <c r="AD40" i="6"/>
  <c r="AE40" i="6"/>
  <c r="AF40" i="6"/>
  <c r="AG40" i="6"/>
  <c r="AH40" i="6"/>
  <c r="AJ40" i="6"/>
  <c r="AK40" i="6"/>
  <c r="AL40" i="6"/>
  <c r="AO40" i="6"/>
  <c r="AP40" i="6"/>
  <c r="AW40" i="6"/>
  <c r="AX40" i="6"/>
  <c r="BD40" i="6"/>
  <c r="BF40" i="6"/>
  <c r="BH40" i="6"/>
  <c r="AB40" i="6" s="1"/>
  <c r="BI40" i="6"/>
  <c r="BJ40" i="6"/>
  <c r="M43" i="6"/>
  <c r="AL43" i="6" s="1"/>
  <c r="Z43" i="6"/>
  <c r="AD43" i="6"/>
  <c r="AE43" i="6"/>
  <c r="AF43" i="6"/>
  <c r="AG43" i="6"/>
  <c r="AH43" i="6"/>
  <c r="AJ43" i="6"/>
  <c r="AK43" i="6"/>
  <c r="AO43" i="6"/>
  <c r="AW43" i="6" s="1"/>
  <c r="AP43" i="6"/>
  <c r="AX43" i="6"/>
  <c r="BD43" i="6"/>
  <c r="BF43" i="6"/>
  <c r="BH43" i="6"/>
  <c r="AB43" i="6" s="1"/>
  <c r="BI43" i="6"/>
  <c r="AC43" i="6" s="1"/>
  <c r="BJ43" i="6"/>
  <c r="M45" i="6"/>
  <c r="Z45" i="6"/>
  <c r="AD45" i="6"/>
  <c r="AE45" i="6"/>
  <c r="AF45" i="6"/>
  <c r="AG45" i="6"/>
  <c r="AH45" i="6"/>
  <c r="AJ45" i="6"/>
  <c r="AK45" i="6"/>
  <c r="AL45" i="6"/>
  <c r="AO45" i="6"/>
  <c r="AW45" i="6" s="1"/>
  <c r="AV45" i="6" s="1"/>
  <c r="AP45" i="6"/>
  <c r="AX45" i="6" s="1"/>
  <c r="BD45" i="6"/>
  <c r="BF45" i="6"/>
  <c r="BH45" i="6"/>
  <c r="AB45" i="6" s="1"/>
  <c r="BI45" i="6"/>
  <c r="AC45" i="6" s="1"/>
  <c r="BJ45" i="6"/>
  <c r="M48" i="6"/>
  <c r="Z48" i="6"/>
  <c r="AB48" i="6"/>
  <c r="AD48" i="6"/>
  <c r="AE48" i="6"/>
  <c r="AF48" i="6"/>
  <c r="AG48" i="6"/>
  <c r="AH48" i="6"/>
  <c r="AJ48" i="6"/>
  <c r="AK48" i="6"/>
  <c r="AT37" i="6" s="1"/>
  <c r="AL48" i="6"/>
  <c r="AO48" i="6"/>
  <c r="AP48" i="6"/>
  <c r="AX48" i="6" s="1"/>
  <c r="AW48" i="6"/>
  <c r="BD48" i="6"/>
  <c r="BF48" i="6"/>
  <c r="BH48" i="6"/>
  <c r="BI48" i="6"/>
  <c r="AC48" i="6" s="1"/>
  <c r="BJ48" i="6"/>
  <c r="M51" i="6"/>
  <c r="Z51" i="6"/>
  <c r="AC51" i="6"/>
  <c r="AD51" i="6"/>
  <c r="AE51" i="6"/>
  <c r="AF51" i="6"/>
  <c r="AG51" i="6"/>
  <c r="AH51" i="6"/>
  <c r="AJ51" i="6"/>
  <c r="AS50" i="6" s="1"/>
  <c r="AK51" i="6"/>
  <c r="AT50" i="6" s="1"/>
  <c r="AL51" i="6"/>
  <c r="AO51" i="6"/>
  <c r="AP51" i="6"/>
  <c r="AW51" i="6"/>
  <c r="AX51" i="6"/>
  <c r="BD51" i="6"/>
  <c r="BF51" i="6"/>
  <c r="BH51" i="6"/>
  <c r="AB51" i="6" s="1"/>
  <c r="BI51" i="6"/>
  <c r="BJ51" i="6"/>
  <c r="M53" i="6"/>
  <c r="Z53" i="6"/>
  <c r="AD53" i="6"/>
  <c r="AE53" i="6"/>
  <c r="AF53" i="6"/>
  <c r="AG53" i="6"/>
  <c r="AH53" i="6"/>
  <c r="AJ53" i="6"/>
  <c r="AK53" i="6"/>
  <c r="AO53" i="6"/>
  <c r="AW53" i="6" s="1"/>
  <c r="AP53" i="6"/>
  <c r="AX53" i="6"/>
  <c r="BD53" i="6"/>
  <c r="BF53" i="6"/>
  <c r="BH53" i="6"/>
  <c r="AB53" i="6" s="1"/>
  <c r="BI53" i="6"/>
  <c r="AC53" i="6" s="1"/>
  <c r="BJ53" i="6"/>
  <c r="M56" i="6"/>
  <c r="AL56" i="6" s="1"/>
  <c r="Z56" i="6"/>
  <c r="AB56" i="6"/>
  <c r="AD56" i="6"/>
  <c r="AE56" i="6"/>
  <c r="AF56" i="6"/>
  <c r="AG56" i="6"/>
  <c r="AH56" i="6"/>
  <c r="AJ56" i="6"/>
  <c r="AK56" i="6"/>
  <c r="AO56" i="6"/>
  <c r="AP56" i="6"/>
  <c r="AW56" i="6"/>
  <c r="BD56" i="6"/>
  <c r="BF56" i="6"/>
  <c r="BH56" i="6"/>
  <c r="BJ56" i="6"/>
  <c r="M60" i="6"/>
  <c r="Z60" i="6"/>
  <c r="AB60" i="6"/>
  <c r="AC60" i="6"/>
  <c r="AD60" i="6"/>
  <c r="AE60" i="6"/>
  <c r="AF60" i="6"/>
  <c r="AG60" i="6"/>
  <c r="AH60" i="6"/>
  <c r="AJ60" i="6"/>
  <c r="AK60" i="6"/>
  <c r="AL60" i="6"/>
  <c r="AO60" i="6"/>
  <c r="AP60" i="6"/>
  <c r="AV60" i="6"/>
  <c r="AW60" i="6"/>
  <c r="AX60" i="6"/>
  <c r="BC60" i="6"/>
  <c r="BD60" i="6"/>
  <c r="BF60" i="6"/>
  <c r="BH60" i="6"/>
  <c r="BI60" i="6"/>
  <c r="BJ60" i="6"/>
  <c r="M63" i="6"/>
  <c r="Z63" i="6"/>
  <c r="AC63" i="6"/>
  <c r="AD63" i="6"/>
  <c r="AE63" i="6"/>
  <c r="AF63" i="6"/>
  <c r="AG63" i="6"/>
  <c r="AH63" i="6"/>
  <c r="AJ63" i="6"/>
  <c r="AK63" i="6"/>
  <c r="AL63" i="6"/>
  <c r="AO63" i="6"/>
  <c r="AP63" i="6"/>
  <c r="AW63" i="6"/>
  <c r="AX63" i="6"/>
  <c r="BD63" i="6"/>
  <c r="BF63" i="6"/>
  <c r="BH63" i="6"/>
  <c r="AB63" i="6" s="1"/>
  <c r="BI63" i="6"/>
  <c r="BJ63" i="6"/>
  <c r="M65" i="6"/>
  <c r="AL65" i="6" s="1"/>
  <c r="Z65" i="6"/>
  <c r="AD65" i="6"/>
  <c r="AE65" i="6"/>
  <c r="AF65" i="6"/>
  <c r="AG65" i="6"/>
  <c r="AH65" i="6"/>
  <c r="AJ65" i="6"/>
  <c r="AK65" i="6"/>
  <c r="AO65" i="6"/>
  <c r="AW65" i="6" s="1"/>
  <c r="AP65" i="6"/>
  <c r="AX65" i="6"/>
  <c r="BD65" i="6"/>
  <c r="BF65" i="6"/>
  <c r="BH65" i="6"/>
  <c r="AB65" i="6" s="1"/>
  <c r="BI65" i="6"/>
  <c r="AC65" i="6" s="1"/>
  <c r="BJ65" i="6"/>
  <c r="M71" i="6"/>
  <c r="Z71" i="6"/>
  <c r="AD71" i="6"/>
  <c r="AE71" i="6"/>
  <c r="AF71" i="6"/>
  <c r="AG71" i="6"/>
  <c r="AH71" i="6"/>
  <c r="AJ71" i="6"/>
  <c r="AS55" i="6" s="1"/>
  <c r="AK71" i="6"/>
  <c r="AL71" i="6"/>
  <c r="AO71" i="6"/>
  <c r="AW71" i="6" s="1"/>
  <c r="AV71" i="6" s="1"/>
  <c r="AP71" i="6"/>
  <c r="AX71" i="6" s="1"/>
  <c r="BC71" i="6"/>
  <c r="BD71" i="6"/>
  <c r="BF71" i="6"/>
  <c r="BH71" i="6"/>
  <c r="AB71" i="6" s="1"/>
  <c r="BI71" i="6"/>
  <c r="AC71" i="6" s="1"/>
  <c r="BJ71" i="6"/>
  <c r="M78" i="6"/>
  <c r="Z78" i="6"/>
  <c r="AB78" i="6"/>
  <c r="AD78" i="6"/>
  <c r="AE78" i="6"/>
  <c r="AF78" i="6"/>
  <c r="AG78" i="6"/>
  <c r="AH78" i="6"/>
  <c r="AJ78" i="6"/>
  <c r="AK78" i="6"/>
  <c r="AL78" i="6"/>
  <c r="AO78" i="6"/>
  <c r="AP78" i="6"/>
  <c r="AX78" i="6" s="1"/>
  <c r="AW78" i="6"/>
  <c r="AV78" i="6" s="1"/>
  <c r="BD78" i="6"/>
  <c r="BF78" i="6"/>
  <c r="BH78" i="6"/>
  <c r="BI78" i="6"/>
  <c r="AC78" i="6" s="1"/>
  <c r="BJ78" i="6"/>
  <c r="M81" i="6"/>
  <c r="Z81" i="6"/>
  <c r="AC81" i="6"/>
  <c r="AD81" i="6"/>
  <c r="AE81" i="6"/>
  <c r="AF81" i="6"/>
  <c r="AG81" i="6"/>
  <c r="AH81" i="6"/>
  <c r="AJ81" i="6"/>
  <c r="AK81" i="6"/>
  <c r="AL81" i="6"/>
  <c r="AO81" i="6"/>
  <c r="AP81" i="6"/>
  <c r="AW81" i="6"/>
  <c r="AV81" i="6" s="1"/>
  <c r="AX81" i="6"/>
  <c r="BD81" i="6"/>
  <c r="BF81" i="6"/>
  <c r="BH81" i="6"/>
  <c r="AB81" i="6" s="1"/>
  <c r="BI81" i="6"/>
  <c r="BJ81" i="6"/>
  <c r="M84" i="6"/>
  <c r="AL84" i="6" s="1"/>
  <c r="Z84" i="6"/>
  <c r="AD84" i="6"/>
  <c r="AE84" i="6"/>
  <c r="AF84" i="6"/>
  <c r="AG84" i="6"/>
  <c r="AH84" i="6"/>
  <c r="AJ84" i="6"/>
  <c r="AK84" i="6"/>
  <c r="AO84" i="6"/>
  <c r="AW84" i="6" s="1"/>
  <c r="AP84" i="6"/>
  <c r="AX84" i="6"/>
  <c r="BD84" i="6"/>
  <c r="BF84" i="6"/>
  <c r="BI84" i="6"/>
  <c r="AC84" i="6" s="1"/>
  <c r="BJ84" i="6"/>
  <c r="M87" i="6"/>
  <c r="AL87" i="6" s="1"/>
  <c r="Z87" i="6"/>
  <c r="AB87" i="6"/>
  <c r="AD87" i="6"/>
  <c r="AE87" i="6"/>
  <c r="AF87" i="6"/>
  <c r="AG87" i="6"/>
  <c r="AH87" i="6"/>
  <c r="AJ87" i="6"/>
  <c r="AK87" i="6"/>
  <c r="AO87" i="6"/>
  <c r="AP87" i="6"/>
  <c r="AW87" i="6"/>
  <c r="BD87" i="6"/>
  <c r="BF87" i="6"/>
  <c r="BH87" i="6"/>
  <c r="BJ87" i="6"/>
  <c r="M90" i="6"/>
  <c r="Z90" i="6"/>
  <c r="AB90" i="6"/>
  <c r="AC90" i="6"/>
  <c r="AD90" i="6"/>
  <c r="AE90" i="6"/>
  <c r="AF90" i="6"/>
  <c r="AG90" i="6"/>
  <c r="AH90" i="6"/>
  <c r="AJ90" i="6"/>
  <c r="AK90" i="6"/>
  <c r="AL90" i="6"/>
  <c r="AO90" i="6"/>
  <c r="AP90" i="6"/>
  <c r="AV90" i="6"/>
  <c r="AW90" i="6"/>
  <c r="AX90" i="6"/>
  <c r="BC90" i="6"/>
  <c r="BD90" i="6"/>
  <c r="BF90" i="6"/>
  <c r="BH90" i="6"/>
  <c r="BI90" i="6"/>
  <c r="BJ90" i="6"/>
  <c r="M92" i="6"/>
  <c r="Z92" i="6"/>
  <c r="AC92" i="6"/>
  <c r="AD92" i="6"/>
  <c r="AE92" i="6"/>
  <c r="AF92" i="6"/>
  <c r="AG92" i="6"/>
  <c r="AH92" i="6"/>
  <c r="AJ92" i="6"/>
  <c r="AK92" i="6"/>
  <c r="AL92" i="6"/>
  <c r="AO92" i="6"/>
  <c r="AP92" i="6"/>
  <c r="AW92" i="6"/>
  <c r="AX92" i="6"/>
  <c r="BD92" i="6"/>
  <c r="BF92" i="6"/>
  <c r="BH92" i="6"/>
  <c r="AB92" i="6" s="1"/>
  <c r="BI92" i="6"/>
  <c r="BJ92" i="6"/>
  <c r="M94" i="6"/>
  <c r="AL94" i="6" s="1"/>
  <c r="Z94" i="6"/>
  <c r="AD94" i="6"/>
  <c r="AE94" i="6"/>
  <c r="AF94" i="6"/>
  <c r="AG94" i="6"/>
  <c r="AH94" i="6"/>
  <c r="AJ94" i="6"/>
  <c r="AK94" i="6"/>
  <c r="AO94" i="6"/>
  <c r="AW94" i="6" s="1"/>
  <c r="AP94" i="6"/>
  <c r="AX94" i="6"/>
  <c r="BD94" i="6"/>
  <c r="BF94" i="6"/>
  <c r="BH94" i="6"/>
  <c r="AB94" i="6" s="1"/>
  <c r="BI94" i="6"/>
  <c r="AC94" i="6" s="1"/>
  <c r="BJ94" i="6"/>
  <c r="M97" i="6"/>
  <c r="Z97" i="6"/>
  <c r="AD97" i="6"/>
  <c r="AE97" i="6"/>
  <c r="AF97" i="6"/>
  <c r="AG97" i="6"/>
  <c r="AH97" i="6"/>
  <c r="AJ97" i="6"/>
  <c r="AK97" i="6"/>
  <c r="AL97" i="6"/>
  <c r="AO97" i="6"/>
  <c r="AW97" i="6" s="1"/>
  <c r="AV97" i="6" s="1"/>
  <c r="AP97" i="6"/>
  <c r="AX97" i="6" s="1"/>
  <c r="BC97" i="6"/>
  <c r="BD97" i="6"/>
  <c r="BF97" i="6"/>
  <c r="BH97" i="6"/>
  <c r="AB97" i="6" s="1"/>
  <c r="BI97" i="6"/>
  <c r="AC97" i="6" s="1"/>
  <c r="BJ97" i="6"/>
  <c r="M100" i="6"/>
  <c r="Z100" i="6"/>
  <c r="AB100" i="6"/>
  <c r="AD100" i="6"/>
  <c r="AE100" i="6"/>
  <c r="AF100" i="6"/>
  <c r="AG100" i="6"/>
  <c r="AH100" i="6"/>
  <c r="AJ100" i="6"/>
  <c r="AK100" i="6"/>
  <c r="AL100" i="6"/>
  <c r="AO100" i="6"/>
  <c r="AW100" i="6" s="1"/>
  <c r="AP100" i="6"/>
  <c r="AX100" i="6" s="1"/>
  <c r="BD100" i="6"/>
  <c r="BF100" i="6"/>
  <c r="BH100" i="6"/>
  <c r="BI100" i="6"/>
  <c r="AC100" i="6" s="1"/>
  <c r="BJ100" i="6"/>
  <c r="M105" i="6"/>
  <c r="Z105" i="6"/>
  <c r="AC105" i="6"/>
  <c r="AD105" i="6"/>
  <c r="AE105" i="6"/>
  <c r="AF105" i="6"/>
  <c r="AG105" i="6"/>
  <c r="AH105" i="6"/>
  <c r="AJ105" i="6"/>
  <c r="AK105" i="6"/>
  <c r="AL105" i="6"/>
  <c r="AO105" i="6"/>
  <c r="AP105" i="6"/>
  <c r="AX105" i="6" s="1"/>
  <c r="AV105" i="6" s="1"/>
  <c r="AW105" i="6"/>
  <c r="BC105" i="6" s="1"/>
  <c r="BD105" i="6"/>
  <c r="BF105" i="6"/>
  <c r="BH105" i="6"/>
  <c r="AB105" i="6" s="1"/>
  <c r="BI105" i="6"/>
  <c r="BJ105" i="6"/>
  <c r="M107" i="6"/>
  <c r="AL107" i="6" s="1"/>
  <c r="Z107" i="6"/>
  <c r="AD107" i="6"/>
  <c r="AE107" i="6"/>
  <c r="AF107" i="6"/>
  <c r="AG107" i="6"/>
  <c r="AH107" i="6"/>
  <c r="AJ107" i="6"/>
  <c r="AK107" i="6"/>
  <c r="AO107" i="6"/>
  <c r="AW107" i="6" s="1"/>
  <c r="AP107" i="6"/>
  <c r="AX107" i="6"/>
  <c r="BD107" i="6"/>
  <c r="BF107" i="6"/>
  <c r="BH107" i="6"/>
  <c r="AB107" i="6" s="1"/>
  <c r="BI107" i="6"/>
  <c r="AC107" i="6" s="1"/>
  <c r="BJ107" i="6"/>
  <c r="M110" i="6"/>
  <c r="Z110" i="6"/>
  <c r="AD110" i="6"/>
  <c r="AE110" i="6"/>
  <c r="AF110" i="6"/>
  <c r="AG110" i="6"/>
  <c r="AH110" i="6"/>
  <c r="AJ110" i="6"/>
  <c r="AK110" i="6"/>
  <c r="AL110" i="6"/>
  <c r="AO110" i="6"/>
  <c r="AW110" i="6" s="1"/>
  <c r="AV110" i="6" s="1"/>
  <c r="AP110" i="6"/>
  <c r="AX110" i="6" s="1"/>
  <c r="BC110" i="6"/>
  <c r="BD110" i="6"/>
  <c r="BF110" i="6"/>
  <c r="BH110" i="6"/>
  <c r="AB110" i="6" s="1"/>
  <c r="BI110" i="6"/>
  <c r="AC110" i="6" s="1"/>
  <c r="BJ110" i="6"/>
  <c r="M112" i="6"/>
  <c r="Z112" i="6"/>
  <c r="AB112" i="6"/>
  <c r="AD112" i="6"/>
  <c r="AE112" i="6"/>
  <c r="AF112" i="6"/>
  <c r="AG112" i="6"/>
  <c r="AH112" i="6"/>
  <c r="AJ112" i="6"/>
  <c r="AK112" i="6"/>
  <c r="AL112" i="6"/>
  <c r="AO112" i="6"/>
  <c r="AW112" i="6" s="1"/>
  <c r="AP112" i="6"/>
  <c r="AX112" i="6" s="1"/>
  <c r="BD112" i="6"/>
  <c r="BF112" i="6"/>
  <c r="BH112" i="6"/>
  <c r="BI112" i="6"/>
  <c r="AC112" i="6" s="1"/>
  <c r="BJ112" i="6"/>
  <c r="M114" i="6"/>
  <c r="Z114" i="6"/>
  <c r="AC114" i="6"/>
  <c r="AD114" i="6"/>
  <c r="AE114" i="6"/>
  <c r="AF114" i="6"/>
  <c r="AG114" i="6"/>
  <c r="AH114" i="6"/>
  <c r="AJ114" i="6"/>
  <c r="AK114" i="6"/>
  <c r="AL114" i="6"/>
  <c r="AO114" i="6"/>
  <c r="AP114" i="6"/>
  <c r="AX114" i="6" s="1"/>
  <c r="AV114" i="6" s="1"/>
  <c r="AW114" i="6"/>
  <c r="BC114" i="6" s="1"/>
  <c r="BD114" i="6"/>
  <c r="BF114" i="6"/>
  <c r="BH114" i="6"/>
  <c r="AB114" i="6" s="1"/>
  <c r="BI114" i="6"/>
  <c r="BJ114" i="6"/>
  <c r="M116" i="6"/>
  <c r="AL116" i="6" s="1"/>
  <c r="Z116" i="6"/>
  <c r="AD116" i="6"/>
  <c r="AE116" i="6"/>
  <c r="AF116" i="6"/>
  <c r="AG116" i="6"/>
  <c r="AH116" i="6"/>
  <c r="AJ116" i="6"/>
  <c r="AK116" i="6"/>
  <c r="AO116" i="6"/>
  <c r="AW116" i="6" s="1"/>
  <c r="AP116" i="6"/>
  <c r="AX116" i="6"/>
  <c r="BD116" i="6"/>
  <c r="BF116" i="6"/>
  <c r="BH116" i="6"/>
  <c r="AB116" i="6" s="1"/>
  <c r="BI116" i="6"/>
  <c r="AC116" i="6" s="1"/>
  <c r="BJ116" i="6"/>
  <c r="M119" i="6"/>
  <c r="AL119" i="6" s="1"/>
  <c r="Z119" i="6"/>
  <c r="AD119" i="6"/>
  <c r="AE119" i="6"/>
  <c r="AF119" i="6"/>
  <c r="AG119" i="6"/>
  <c r="AH119" i="6"/>
  <c r="AJ119" i="6"/>
  <c r="AK119" i="6"/>
  <c r="AO119" i="6"/>
  <c r="AP119" i="6"/>
  <c r="AX119" i="6" s="1"/>
  <c r="AW119" i="6"/>
  <c r="AV119" i="6" s="1"/>
  <c r="BD119" i="6"/>
  <c r="BF119" i="6"/>
  <c r="BH119" i="6"/>
  <c r="AB119" i="6" s="1"/>
  <c r="BI119" i="6"/>
  <c r="AC119" i="6" s="1"/>
  <c r="BJ119" i="6"/>
  <c r="M122" i="6"/>
  <c r="AL122" i="6" s="1"/>
  <c r="Z122" i="6"/>
  <c r="AB122" i="6"/>
  <c r="AC122" i="6"/>
  <c r="AD122" i="6"/>
  <c r="AE122" i="6"/>
  <c r="AF122" i="6"/>
  <c r="AG122" i="6"/>
  <c r="AH122" i="6"/>
  <c r="AJ122" i="6"/>
  <c r="AK122" i="6"/>
  <c r="AO122" i="6"/>
  <c r="AW122" i="6" s="1"/>
  <c r="AP122" i="6"/>
  <c r="AX122" i="6"/>
  <c r="BD122" i="6"/>
  <c r="BF122" i="6"/>
  <c r="BH122" i="6"/>
  <c r="BI122" i="6"/>
  <c r="BJ122" i="6"/>
  <c r="M125" i="6"/>
  <c r="Z125" i="6"/>
  <c r="AC125" i="6"/>
  <c r="AD125" i="6"/>
  <c r="AE125" i="6"/>
  <c r="AF125" i="6"/>
  <c r="AG125" i="6"/>
  <c r="AH125" i="6"/>
  <c r="AJ125" i="6"/>
  <c r="AK125" i="6"/>
  <c r="AL125" i="6"/>
  <c r="AO125" i="6"/>
  <c r="AP125" i="6"/>
  <c r="AX125" i="6" s="1"/>
  <c r="AW125" i="6"/>
  <c r="BD125" i="6"/>
  <c r="BF125" i="6"/>
  <c r="BH125" i="6"/>
  <c r="AB125" i="6" s="1"/>
  <c r="BI125" i="6"/>
  <c r="BJ125" i="6"/>
  <c r="M128" i="6"/>
  <c r="AL128" i="6" s="1"/>
  <c r="Z128" i="6"/>
  <c r="AC128" i="6"/>
  <c r="AD128" i="6"/>
  <c r="AE128" i="6"/>
  <c r="AF128" i="6"/>
  <c r="AG128" i="6"/>
  <c r="AH128" i="6"/>
  <c r="AJ128" i="6"/>
  <c r="AK128" i="6"/>
  <c r="AO128" i="6"/>
  <c r="AW128" i="6" s="1"/>
  <c r="AP128" i="6"/>
  <c r="AX128" i="6"/>
  <c r="BD128" i="6"/>
  <c r="BF128" i="6"/>
  <c r="BH128" i="6"/>
  <c r="AB128" i="6" s="1"/>
  <c r="BI128" i="6"/>
  <c r="BJ128" i="6"/>
  <c r="M130" i="6"/>
  <c r="Z130" i="6"/>
  <c r="AD130" i="6"/>
  <c r="AE130" i="6"/>
  <c r="AF130" i="6"/>
  <c r="AG130" i="6"/>
  <c r="AH130" i="6"/>
  <c r="AJ130" i="6"/>
  <c r="AK130" i="6"/>
  <c r="AL130" i="6"/>
  <c r="AO130" i="6"/>
  <c r="AW130" i="6" s="1"/>
  <c r="AP130" i="6"/>
  <c r="AX130" i="6" s="1"/>
  <c r="BD130" i="6"/>
  <c r="BF130" i="6"/>
  <c r="BH130" i="6"/>
  <c r="AB130" i="6" s="1"/>
  <c r="BI130" i="6"/>
  <c r="AC130" i="6" s="1"/>
  <c r="BJ130" i="6"/>
  <c r="M132" i="6"/>
  <c r="Z132" i="6"/>
  <c r="AB132" i="6"/>
  <c r="AD132" i="6"/>
  <c r="AE132" i="6"/>
  <c r="AF132" i="6"/>
  <c r="AG132" i="6"/>
  <c r="AH132" i="6"/>
  <c r="AJ132" i="6"/>
  <c r="AK132" i="6"/>
  <c r="AL132" i="6"/>
  <c r="AO132" i="6"/>
  <c r="AW132" i="6" s="1"/>
  <c r="AP132" i="6"/>
  <c r="AX132" i="6" s="1"/>
  <c r="BD132" i="6"/>
  <c r="BF132" i="6"/>
  <c r="BH132" i="6"/>
  <c r="BI132" i="6"/>
  <c r="AC132" i="6" s="1"/>
  <c r="BJ132" i="6"/>
  <c r="M135" i="6"/>
  <c r="Z135" i="6"/>
  <c r="AC135" i="6"/>
  <c r="AD135" i="6"/>
  <c r="AE135" i="6"/>
  <c r="AF135" i="6"/>
  <c r="AG135" i="6"/>
  <c r="AH135" i="6"/>
  <c r="AJ135" i="6"/>
  <c r="AK135" i="6"/>
  <c r="AL135" i="6"/>
  <c r="AO135" i="6"/>
  <c r="AP135" i="6"/>
  <c r="AW135" i="6"/>
  <c r="AX135" i="6"/>
  <c r="BD135" i="6"/>
  <c r="BF135" i="6"/>
  <c r="BH135" i="6"/>
  <c r="AB135" i="6" s="1"/>
  <c r="BI135" i="6"/>
  <c r="BJ135" i="6"/>
  <c r="M139" i="6"/>
  <c r="Z139" i="6"/>
  <c r="AD139" i="6"/>
  <c r="AE139" i="6"/>
  <c r="AF139" i="6"/>
  <c r="AG139" i="6"/>
  <c r="AH139" i="6"/>
  <c r="AJ139" i="6"/>
  <c r="AK139" i="6"/>
  <c r="AO139" i="6"/>
  <c r="AW139" i="6" s="1"/>
  <c r="AP139" i="6"/>
  <c r="AX139" i="6"/>
  <c r="BD139" i="6"/>
  <c r="BF139" i="6"/>
  <c r="BH139" i="6"/>
  <c r="AB139" i="6" s="1"/>
  <c r="BI139" i="6"/>
  <c r="AC139" i="6" s="1"/>
  <c r="BJ139" i="6"/>
  <c r="M142" i="6"/>
  <c r="Z142" i="6"/>
  <c r="AD142" i="6"/>
  <c r="AE142" i="6"/>
  <c r="AF142" i="6"/>
  <c r="AG142" i="6"/>
  <c r="AH142" i="6"/>
  <c r="AJ142" i="6"/>
  <c r="AK142" i="6"/>
  <c r="AL142" i="6"/>
  <c r="AO142" i="6"/>
  <c r="AW142" i="6" s="1"/>
  <c r="AV142" i="6" s="1"/>
  <c r="AP142" i="6"/>
  <c r="AX142" i="6" s="1"/>
  <c r="BD142" i="6"/>
  <c r="BF142" i="6"/>
  <c r="BH142" i="6"/>
  <c r="AB142" i="6" s="1"/>
  <c r="BI142" i="6"/>
  <c r="AC142" i="6" s="1"/>
  <c r="BJ142" i="6"/>
  <c r="M144" i="6"/>
  <c r="Z144" i="6"/>
  <c r="AB144" i="6"/>
  <c r="AD144" i="6"/>
  <c r="AE144" i="6"/>
  <c r="AF144" i="6"/>
  <c r="AG144" i="6"/>
  <c r="AH144" i="6"/>
  <c r="AJ144" i="6"/>
  <c r="AK144" i="6"/>
  <c r="AL144" i="6"/>
  <c r="AO144" i="6"/>
  <c r="AW144" i="6" s="1"/>
  <c r="AP144" i="6"/>
  <c r="AX144" i="6" s="1"/>
  <c r="BD144" i="6"/>
  <c r="BF144" i="6"/>
  <c r="BH144" i="6"/>
  <c r="BI144" i="6"/>
  <c r="AC144" i="6" s="1"/>
  <c r="BJ144" i="6"/>
  <c r="M147" i="6"/>
  <c r="AU147" i="6"/>
  <c r="M148" i="6"/>
  <c r="Z148" i="6"/>
  <c r="AB148" i="6"/>
  <c r="AC148" i="6"/>
  <c r="AD148" i="6"/>
  <c r="AE148" i="6"/>
  <c r="AF148" i="6"/>
  <c r="AG148" i="6"/>
  <c r="AH148" i="6"/>
  <c r="AJ148" i="6"/>
  <c r="AS147" i="6" s="1"/>
  <c r="AK148" i="6"/>
  <c r="AT147" i="6" s="1"/>
  <c r="AL148" i="6"/>
  <c r="AO148" i="6"/>
  <c r="AP148" i="6"/>
  <c r="AX148" i="6" s="1"/>
  <c r="AW148" i="6"/>
  <c r="BD148" i="6"/>
  <c r="BF148" i="6"/>
  <c r="BH148" i="6"/>
  <c r="BI148" i="6"/>
  <c r="BJ148" i="6"/>
  <c r="M150" i="6"/>
  <c r="M151" i="6"/>
  <c r="AL151" i="6" s="1"/>
  <c r="AU150" i="6" s="1"/>
  <c r="Z151" i="6"/>
  <c r="AD151" i="6"/>
  <c r="AE151" i="6"/>
  <c r="AF151" i="6"/>
  <c r="AG151" i="6"/>
  <c r="AH151" i="6"/>
  <c r="AJ151" i="6"/>
  <c r="AS150" i="6" s="1"/>
  <c r="AK151" i="6"/>
  <c r="AO151" i="6"/>
  <c r="AW151" i="6" s="1"/>
  <c r="AP151" i="6"/>
  <c r="AX151" i="6"/>
  <c r="BD151" i="6"/>
  <c r="BF151" i="6"/>
  <c r="BI151" i="6"/>
  <c r="AC151" i="6" s="1"/>
  <c r="BJ151" i="6"/>
  <c r="M154" i="6"/>
  <c r="AL154" i="6" s="1"/>
  <c r="Z154" i="6"/>
  <c r="AB154" i="6"/>
  <c r="AD154" i="6"/>
  <c r="AE154" i="6"/>
  <c r="AF154" i="6"/>
  <c r="AG154" i="6"/>
  <c r="AH154" i="6"/>
  <c r="AJ154" i="6"/>
  <c r="AK154" i="6"/>
  <c r="AT150" i="6" s="1"/>
  <c r="AO154" i="6"/>
  <c r="AP154" i="6"/>
  <c r="AW154" i="6"/>
  <c r="BD154" i="6"/>
  <c r="BF154" i="6"/>
  <c r="BH154" i="6"/>
  <c r="BJ154" i="6"/>
  <c r="M156" i="6"/>
  <c r="AL156" i="6" s="1"/>
  <c r="Z156" i="6"/>
  <c r="AB156" i="6"/>
  <c r="AC156" i="6"/>
  <c r="AD156" i="6"/>
  <c r="AE156" i="6"/>
  <c r="AF156" i="6"/>
  <c r="AG156" i="6"/>
  <c r="AH156" i="6"/>
  <c r="AJ156" i="6"/>
  <c r="AK156" i="6"/>
  <c r="AO156" i="6"/>
  <c r="AP156" i="6"/>
  <c r="AV156" i="6"/>
  <c r="AW156" i="6"/>
  <c r="AX156" i="6"/>
  <c r="BC156" i="6"/>
  <c r="BD156" i="6"/>
  <c r="BF156" i="6"/>
  <c r="BH156" i="6"/>
  <c r="BI156" i="6"/>
  <c r="BJ156" i="6"/>
  <c r="AS159" i="6"/>
  <c r="AT159" i="6"/>
  <c r="M160" i="6"/>
  <c r="M159" i="6" s="1"/>
  <c r="Z160" i="6"/>
  <c r="AC160" i="6"/>
  <c r="AD160" i="6"/>
  <c r="AE160" i="6"/>
  <c r="AF160" i="6"/>
  <c r="AG160" i="6"/>
  <c r="AH160" i="6"/>
  <c r="AJ160" i="6"/>
  <c r="AK160" i="6"/>
  <c r="AL160" i="6"/>
  <c r="AU159" i="6" s="1"/>
  <c r="AO160" i="6"/>
  <c r="AP160" i="6"/>
  <c r="AX160" i="6" s="1"/>
  <c r="AW160" i="6"/>
  <c r="BD160" i="6"/>
  <c r="BF160" i="6"/>
  <c r="BH160" i="6"/>
  <c r="AB160" i="6" s="1"/>
  <c r="BI160" i="6"/>
  <c r="BJ160" i="6"/>
  <c r="M163" i="6"/>
  <c r="AL163" i="6" s="1"/>
  <c r="Z163" i="6"/>
  <c r="AD163" i="6"/>
  <c r="AE163" i="6"/>
  <c r="AF163" i="6"/>
  <c r="AG163" i="6"/>
  <c r="AH163" i="6"/>
  <c r="AJ163" i="6"/>
  <c r="AK163" i="6"/>
  <c r="AO163" i="6"/>
  <c r="AW163" i="6" s="1"/>
  <c r="AP163" i="6"/>
  <c r="AX163" i="6"/>
  <c r="BD163" i="6"/>
  <c r="BF163" i="6"/>
  <c r="BH163" i="6"/>
  <c r="AB163" i="6" s="1"/>
  <c r="BI163" i="6"/>
  <c r="AC163" i="6" s="1"/>
  <c r="BJ163" i="6"/>
  <c r="M166" i="6"/>
  <c r="Z166" i="6"/>
  <c r="AB166" i="6"/>
  <c r="AC166" i="6"/>
  <c r="AF166" i="6"/>
  <c r="AG166" i="6"/>
  <c r="AH166" i="6"/>
  <c r="AJ166" i="6"/>
  <c r="AS165" i="6" s="1"/>
  <c r="AK166" i="6"/>
  <c r="AL166" i="6"/>
  <c r="AO166" i="6"/>
  <c r="AW166" i="6" s="1"/>
  <c r="BC166" i="6" s="1"/>
  <c r="AP166" i="6"/>
  <c r="AX166" i="6" s="1"/>
  <c r="BD166" i="6"/>
  <c r="BF166" i="6"/>
  <c r="BH166" i="6"/>
  <c r="AD166" i="6" s="1"/>
  <c r="BI166" i="6"/>
  <c r="AE166" i="6" s="1"/>
  <c r="BJ166" i="6"/>
  <c r="M169" i="6"/>
  <c r="Z169" i="6"/>
  <c r="AB169" i="6"/>
  <c r="AC169" i="6"/>
  <c r="AF169" i="6"/>
  <c r="AG169" i="6"/>
  <c r="AH169" i="6"/>
  <c r="AJ169" i="6"/>
  <c r="AK169" i="6"/>
  <c r="AT165" i="6" s="1"/>
  <c r="AL169" i="6"/>
  <c r="AO169" i="6"/>
  <c r="AW169" i="6" s="1"/>
  <c r="AP169" i="6"/>
  <c r="AX169" i="6" s="1"/>
  <c r="BD169" i="6"/>
  <c r="BF169" i="6"/>
  <c r="BH169" i="6"/>
  <c r="AD169" i="6" s="1"/>
  <c r="BI169" i="6"/>
  <c r="AE169" i="6" s="1"/>
  <c r="BJ169" i="6"/>
  <c r="M172" i="6"/>
  <c r="M165" i="6" s="1"/>
  <c r="AB172" i="6"/>
  <c r="AC172" i="6"/>
  <c r="AD172" i="6"/>
  <c r="AE172" i="6"/>
  <c r="AF172" i="6"/>
  <c r="AG172" i="6"/>
  <c r="AH172" i="6"/>
  <c r="AJ172" i="6"/>
  <c r="AK172" i="6"/>
  <c r="AL172" i="6"/>
  <c r="AO172" i="6"/>
  <c r="AP172" i="6"/>
  <c r="AV172" i="6"/>
  <c r="AW172" i="6"/>
  <c r="BC172" i="6" s="1"/>
  <c r="AX172" i="6"/>
  <c r="BD172" i="6"/>
  <c r="BF172" i="6"/>
  <c r="BH172" i="6"/>
  <c r="BI172" i="6"/>
  <c r="BJ172" i="6"/>
  <c r="Z172" i="6" s="1"/>
  <c r="M174" i="6"/>
  <c r="Z174" i="6"/>
  <c r="AB174" i="6"/>
  <c r="AC174" i="6"/>
  <c r="AF174" i="6"/>
  <c r="AG174" i="6"/>
  <c r="AH174" i="6"/>
  <c r="AJ174" i="6"/>
  <c r="AK174" i="6"/>
  <c r="AO174" i="6"/>
  <c r="AW174" i="6" s="1"/>
  <c r="AP174" i="6"/>
  <c r="BI174" i="6" s="1"/>
  <c r="AE174" i="6" s="1"/>
  <c r="BD174" i="6"/>
  <c r="BF174" i="6"/>
  <c r="BH174" i="6"/>
  <c r="AD174" i="6" s="1"/>
  <c r="BJ174" i="6"/>
  <c r="M177" i="6"/>
  <c r="Z177" i="6"/>
  <c r="AB177" i="6"/>
  <c r="AC177" i="6"/>
  <c r="AF177" i="6"/>
  <c r="AG177" i="6"/>
  <c r="AH177" i="6"/>
  <c r="AJ177" i="6"/>
  <c r="AS173" i="6" s="1"/>
  <c r="AK177" i="6"/>
  <c r="AL177" i="6"/>
  <c r="AO177" i="6"/>
  <c r="AW177" i="6" s="1"/>
  <c r="AV177" i="6" s="1"/>
  <c r="AP177" i="6"/>
  <c r="AX177" i="6" s="1"/>
  <c r="BC177" i="6"/>
  <c r="BD177" i="6"/>
  <c r="BF177" i="6"/>
  <c r="BH177" i="6"/>
  <c r="AD177" i="6" s="1"/>
  <c r="BI177" i="6"/>
  <c r="AE177" i="6" s="1"/>
  <c r="BJ177" i="6"/>
  <c r="M180" i="6"/>
  <c r="Z180" i="6"/>
  <c r="AB180" i="6"/>
  <c r="AC180" i="6"/>
  <c r="AF180" i="6"/>
  <c r="AG180" i="6"/>
  <c r="AH180" i="6"/>
  <c r="AJ180" i="6"/>
  <c r="AK180" i="6"/>
  <c r="AL180" i="6"/>
  <c r="AO180" i="6"/>
  <c r="AP180" i="6"/>
  <c r="AX180" i="6" s="1"/>
  <c r="AV180" i="6" s="1"/>
  <c r="AW180" i="6"/>
  <c r="BD180" i="6"/>
  <c r="BF180" i="6"/>
  <c r="BH180" i="6"/>
  <c r="AD180" i="6" s="1"/>
  <c r="BI180" i="6"/>
  <c r="AE180" i="6" s="1"/>
  <c r="BJ180" i="6"/>
  <c r="M183" i="6"/>
  <c r="Z183" i="6"/>
  <c r="AB183" i="6"/>
  <c r="AC183" i="6"/>
  <c r="AF183" i="6"/>
  <c r="AG183" i="6"/>
  <c r="AH183" i="6"/>
  <c r="AJ183" i="6"/>
  <c r="AK183" i="6"/>
  <c r="AL183" i="6"/>
  <c r="AO183" i="6"/>
  <c r="AP183" i="6"/>
  <c r="AV183" i="6"/>
  <c r="AW183" i="6"/>
  <c r="BC183" i="6" s="1"/>
  <c r="AX183" i="6"/>
  <c r="BD183" i="6"/>
  <c r="BF183" i="6"/>
  <c r="BH183" i="6"/>
  <c r="AD183" i="6" s="1"/>
  <c r="BI183" i="6"/>
  <c r="AE183" i="6" s="1"/>
  <c r="BJ183" i="6"/>
  <c r="M186" i="6"/>
  <c r="AL186" i="6" s="1"/>
  <c r="Z186" i="6"/>
  <c r="AB186" i="6"/>
  <c r="AC186" i="6"/>
  <c r="AD186" i="6"/>
  <c r="AF186" i="6"/>
  <c r="AG186" i="6"/>
  <c r="AH186" i="6"/>
  <c r="AJ186" i="6"/>
  <c r="AK186" i="6"/>
  <c r="AO186" i="6"/>
  <c r="AW186" i="6" s="1"/>
  <c r="AP186" i="6"/>
  <c r="AX186" i="6"/>
  <c r="BD186" i="6"/>
  <c r="BF186" i="6"/>
  <c r="BH186" i="6"/>
  <c r="BI186" i="6"/>
  <c r="AE186" i="6" s="1"/>
  <c r="BJ186" i="6"/>
  <c r="M189" i="6"/>
  <c r="AL189" i="6" s="1"/>
  <c r="Z189" i="6"/>
  <c r="AB189" i="6"/>
  <c r="AC189" i="6"/>
  <c r="AF189" i="6"/>
  <c r="AG189" i="6"/>
  <c r="AH189" i="6"/>
  <c r="AJ189" i="6"/>
  <c r="AK189" i="6"/>
  <c r="AO189" i="6"/>
  <c r="AP189" i="6"/>
  <c r="AW189" i="6"/>
  <c r="BD189" i="6"/>
  <c r="BF189" i="6"/>
  <c r="BH189" i="6"/>
  <c r="AD189" i="6" s="1"/>
  <c r="BJ189" i="6"/>
  <c r="M191" i="6"/>
  <c r="Z191" i="6"/>
  <c r="AB191" i="6"/>
  <c r="AC191" i="6"/>
  <c r="AF191" i="6"/>
  <c r="AG191" i="6"/>
  <c r="AH191" i="6"/>
  <c r="AJ191" i="6"/>
  <c r="AK191" i="6"/>
  <c r="AL191" i="6"/>
  <c r="AO191" i="6"/>
  <c r="AW191" i="6" s="1"/>
  <c r="BC191" i="6" s="1"/>
  <c r="AP191" i="6"/>
  <c r="AV191" i="6"/>
  <c r="AX191" i="6"/>
  <c r="BD191" i="6"/>
  <c r="BF191" i="6"/>
  <c r="BH191" i="6"/>
  <c r="AD191" i="6" s="1"/>
  <c r="BI191" i="6"/>
  <c r="AE191" i="6" s="1"/>
  <c r="BJ191" i="6"/>
  <c r="M194" i="6"/>
  <c r="Z194" i="6"/>
  <c r="AB194" i="6"/>
  <c r="AC194" i="6"/>
  <c r="AF194" i="6"/>
  <c r="AG194" i="6"/>
  <c r="AH194" i="6"/>
  <c r="AJ194" i="6"/>
  <c r="AK194" i="6"/>
  <c r="AL194" i="6"/>
  <c r="AO194" i="6"/>
  <c r="AP194" i="6"/>
  <c r="AX194" i="6" s="1"/>
  <c r="AW194" i="6"/>
  <c r="BD194" i="6"/>
  <c r="BF194" i="6"/>
  <c r="BH194" i="6"/>
  <c r="AD194" i="6" s="1"/>
  <c r="BI194" i="6"/>
  <c r="AE194" i="6" s="1"/>
  <c r="BJ194" i="6"/>
  <c r="M197" i="6"/>
  <c r="AL197" i="6" s="1"/>
  <c r="AB197" i="6"/>
  <c r="AC197" i="6"/>
  <c r="AD197" i="6"/>
  <c r="AE197" i="6"/>
  <c r="AF197" i="6"/>
  <c r="AG197" i="6"/>
  <c r="AH197" i="6"/>
  <c r="AJ197" i="6"/>
  <c r="AK197" i="6"/>
  <c r="AO197" i="6"/>
  <c r="AW197" i="6" s="1"/>
  <c r="AP197" i="6"/>
  <c r="AX197" i="6"/>
  <c r="BD197" i="6"/>
  <c r="BF197" i="6"/>
  <c r="BH197" i="6"/>
  <c r="BI197" i="6"/>
  <c r="BJ197" i="6"/>
  <c r="Z197" i="6" s="1"/>
  <c r="M199" i="6"/>
  <c r="AL199" i="6" s="1"/>
  <c r="AU198" i="6" s="1"/>
  <c r="Z199" i="6"/>
  <c r="AB199" i="6"/>
  <c r="AC199" i="6"/>
  <c r="AF199" i="6"/>
  <c r="AG199" i="6"/>
  <c r="AH199" i="6"/>
  <c r="AJ199" i="6"/>
  <c r="AK199" i="6"/>
  <c r="AT198" i="6" s="1"/>
  <c r="AO199" i="6"/>
  <c r="AP199" i="6"/>
  <c r="AX199" i="6" s="1"/>
  <c r="BC199" i="6" s="1"/>
  <c r="AW199" i="6"/>
  <c r="BD199" i="6"/>
  <c r="BF199" i="6"/>
  <c r="BH199" i="6"/>
  <c r="AD199" i="6" s="1"/>
  <c r="BI199" i="6"/>
  <c r="AE199" i="6" s="1"/>
  <c r="BJ199" i="6"/>
  <c r="M201" i="6"/>
  <c r="Z201" i="6"/>
  <c r="AB201" i="6"/>
  <c r="AC201" i="6"/>
  <c r="AF201" i="6"/>
  <c r="AG201" i="6"/>
  <c r="AH201" i="6"/>
  <c r="AJ201" i="6"/>
  <c r="AK201" i="6"/>
  <c r="AL201" i="6"/>
  <c r="AO201" i="6"/>
  <c r="AW201" i="6" s="1"/>
  <c r="BC201" i="6" s="1"/>
  <c r="AP201" i="6"/>
  <c r="AX201" i="6"/>
  <c r="BD201" i="6"/>
  <c r="BF201" i="6"/>
  <c r="BH201" i="6"/>
  <c r="AD201" i="6" s="1"/>
  <c r="BI201" i="6"/>
  <c r="AE201" i="6" s="1"/>
  <c r="BJ201" i="6"/>
  <c r="M204" i="6"/>
  <c r="Z204" i="6"/>
  <c r="AB204" i="6"/>
  <c r="AC204" i="6"/>
  <c r="AF204" i="6"/>
  <c r="AG204" i="6"/>
  <c r="AH204" i="6"/>
  <c r="AJ204" i="6"/>
  <c r="AK204" i="6"/>
  <c r="AL204" i="6"/>
  <c r="AO204" i="6"/>
  <c r="AP204" i="6"/>
  <c r="AX204" i="6" s="1"/>
  <c r="AW204" i="6"/>
  <c r="BD204" i="6"/>
  <c r="BF204" i="6"/>
  <c r="BH204" i="6"/>
  <c r="AD204" i="6" s="1"/>
  <c r="BI204" i="6"/>
  <c r="AE204" i="6" s="1"/>
  <c r="BJ204" i="6"/>
  <c r="M206" i="6"/>
  <c r="AL206" i="6" s="1"/>
  <c r="Z206" i="6"/>
  <c r="AB206" i="6"/>
  <c r="AC206" i="6"/>
  <c r="AF206" i="6"/>
  <c r="AG206" i="6"/>
  <c r="AH206" i="6"/>
  <c r="AJ206" i="6"/>
  <c r="AK206" i="6"/>
  <c r="AO206" i="6"/>
  <c r="AW206" i="6" s="1"/>
  <c r="AP206" i="6"/>
  <c r="AX206" i="6"/>
  <c r="BD206" i="6"/>
  <c r="BF206" i="6"/>
  <c r="BH206" i="6"/>
  <c r="AD206" i="6" s="1"/>
  <c r="BI206" i="6"/>
  <c r="AE206" i="6" s="1"/>
  <c r="BJ206" i="6"/>
  <c r="M209" i="6"/>
  <c r="Z209" i="6"/>
  <c r="AB209" i="6"/>
  <c r="AC209" i="6"/>
  <c r="AF209" i="6"/>
  <c r="AG209" i="6"/>
  <c r="AH209" i="6"/>
  <c r="AJ209" i="6"/>
  <c r="AS198" i="6" s="1"/>
  <c r="AK209" i="6"/>
  <c r="AL209" i="6"/>
  <c r="AO209" i="6"/>
  <c r="AW209" i="6" s="1"/>
  <c r="AP209" i="6"/>
  <c r="AX209" i="6" s="1"/>
  <c r="BC209" i="6"/>
  <c r="BD209" i="6"/>
  <c r="BF209" i="6"/>
  <c r="BH209" i="6"/>
  <c r="AD209" i="6" s="1"/>
  <c r="BI209" i="6"/>
  <c r="AE209" i="6" s="1"/>
  <c r="BJ209" i="6"/>
  <c r="M212" i="6"/>
  <c r="Z212" i="6"/>
  <c r="AB212" i="6"/>
  <c r="AC212" i="6"/>
  <c r="AF212" i="6"/>
  <c r="AG212" i="6"/>
  <c r="AH212" i="6"/>
  <c r="AJ212" i="6"/>
  <c r="AK212" i="6"/>
  <c r="AL212" i="6"/>
  <c r="AO212" i="6"/>
  <c r="AP212" i="6"/>
  <c r="AX212" i="6" s="1"/>
  <c r="AV212" i="6" s="1"/>
  <c r="AW212" i="6"/>
  <c r="BC212" i="6" s="1"/>
  <c r="BD212" i="6"/>
  <c r="BF212" i="6"/>
  <c r="BH212" i="6"/>
  <c r="AD212" i="6" s="1"/>
  <c r="BI212" i="6"/>
  <c r="AE212" i="6" s="1"/>
  <c r="BJ212" i="6"/>
  <c r="M214" i="6"/>
  <c r="Z214" i="6"/>
  <c r="AB214" i="6"/>
  <c r="AC214" i="6"/>
  <c r="AF214" i="6"/>
  <c r="AG214" i="6"/>
  <c r="AH214" i="6"/>
  <c r="AJ214" i="6"/>
  <c r="AK214" i="6"/>
  <c r="AL214" i="6"/>
  <c r="AO214" i="6"/>
  <c r="AP214" i="6"/>
  <c r="AW214" i="6"/>
  <c r="AV214" i="6" s="1"/>
  <c r="AX214" i="6"/>
  <c r="BD214" i="6"/>
  <c r="BF214" i="6"/>
  <c r="BH214" i="6"/>
  <c r="AD214" i="6" s="1"/>
  <c r="BI214" i="6"/>
  <c r="AE214" i="6" s="1"/>
  <c r="BJ214" i="6"/>
  <c r="M216" i="6"/>
  <c r="AL216" i="6" s="1"/>
  <c r="Z216" i="6"/>
  <c r="AB216" i="6"/>
  <c r="AC216" i="6"/>
  <c r="AF216" i="6"/>
  <c r="AG216" i="6"/>
  <c r="AH216" i="6"/>
  <c r="AJ216" i="6"/>
  <c r="AK216" i="6"/>
  <c r="AO216" i="6"/>
  <c r="AP216" i="6"/>
  <c r="AX216" i="6"/>
  <c r="BD216" i="6"/>
  <c r="BF216" i="6"/>
  <c r="BI216" i="6"/>
  <c r="AE216" i="6" s="1"/>
  <c r="BJ216" i="6"/>
  <c r="M218" i="6"/>
  <c r="AB218" i="6"/>
  <c r="AC218" i="6"/>
  <c r="AD218" i="6"/>
  <c r="AE218" i="6"/>
  <c r="AF218" i="6"/>
  <c r="AG218" i="6"/>
  <c r="AH218" i="6"/>
  <c r="AJ218" i="6"/>
  <c r="AK218" i="6"/>
  <c r="AL218" i="6"/>
  <c r="AO218" i="6"/>
  <c r="AW218" i="6" s="1"/>
  <c r="AP218" i="6"/>
  <c r="AX218" i="6" s="1"/>
  <c r="BD218" i="6"/>
  <c r="BF218" i="6"/>
  <c r="BH218" i="6"/>
  <c r="BI218" i="6"/>
  <c r="BJ218" i="6"/>
  <c r="Z218" i="6" s="1"/>
  <c r="M220" i="6"/>
  <c r="M219" i="6" s="1"/>
  <c r="Z220" i="6"/>
  <c r="AB220" i="6"/>
  <c r="AC220" i="6"/>
  <c r="AF220" i="6"/>
  <c r="AG220" i="6"/>
  <c r="AH220" i="6"/>
  <c r="AJ220" i="6"/>
  <c r="AS219" i="6" s="1"/>
  <c r="AK220" i="6"/>
  <c r="AT219" i="6" s="1"/>
  <c r="AL220" i="6"/>
  <c r="AU219" i="6" s="1"/>
  <c r="AO220" i="6"/>
  <c r="AW220" i="6" s="1"/>
  <c r="AP220" i="6"/>
  <c r="AX220" i="6" s="1"/>
  <c r="BD220" i="6"/>
  <c r="BF220" i="6"/>
  <c r="BH220" i="6"/>
  <c r="AD220" i="6" s="1"/>
  <c r="BI220" i="6"/>
  <c r="AE220" i="6" s="1"/>
  <c r="BJ220" i="6"/>
  <c r="M222" i="6"/>
  <c r="Z222" i="6"/>
  <c r="AB222" i="6"/>
  <c r="AC222" i="6"/>
  <c r="AF222" i="6"/>
  <c r="AG222" i="6"/>
  <c r="AH222" i="6"/>
  <c r="AJ222" i="6"/>
  <c r="AK222" i="6"/>
  <c r="AL222" i="6"/>
  <c r="AO222" i="6"/>
  <c r="AP222" i="6"/>
  <c r="AX222" i="6" s="1"/>
  <c r="AW222" i="6"/>
  <c r="AV222" i="6" s="1"/>
  <c r="BD222" i="6"/>
  <c r="BF222" i="6"/>
  <c r="BH222" i="6"/>
  <c r="AD222" i="6" s="1"/>
  <c r="BI222" i="6"/>
  <c r="AE222" i="6" s="1"/>
  <c r="BJ222" i="6"/>
  <c r="M225" i="6"/>
  <c r="Z225" i="6"/>
  <c r="AB225" i="6"/>
  <c r="AC225" i="6"/>
  <c r="AF225" i="6"/>
  <c r="AG225" i="6"/>
  <c r="AH225" i="6"/>
  <c r="AJ225" i="6"/>
  <c r="AS224" i="6" s="1"/>
  <c r="AK225" i="6"/>
  <c r="AT224" i="6" s="1"/>
  <c r="AO225" i="6"/>
  <c r="AP225" i="6"/>
  <c r="AW225" i="6"/>
  <c r="BC225" i="6" s="1"/>
  <c r="AX225" i="6"/>
  <c r="BD225" i="6"/>
  <c r="BF225" i="6"/>
  <c r="BH225" i="6"/>
  <c r="AD225" i="6" s="1"/>
  <c r="BI225" i="6"/>
  <c r="AE225" i="6" s="1"/>
  <c r="BJ225" i="6"/>
  <c r="M227" i="6"/>
  <c r="Z227" i="6"/>
  <c r="AB227" i="6"/>
  <c r="AC227" i="6"/>
  <c r="AF227" i="6"/>
  <c r="AG227" i="6"/>
  <c r="AH227" i="6"/>
  <c r="AJ227" i="6"/>
  <c r="AK227" i="6"/>
  <c r="AL227" i="6"/>
  <c r="AO227" i="6"/>
  <c r="AW227" i="6" s="1"/>
  <c r="AP227" i="6"/>
  <c r="AX227" i="6" s="1"/>
  <c r="BC227" i="6" s="1"/>
  <c r="BD227" i="6"/>
  <c r="BF227" i="6"/>
  <c r="BH227" i="6"/>
  <c r="AD227" i="6" s="1"/>
  <c r="BI227" i="6"/>
  <c r="AE227" i="6" s="1"/>
  <c r="BJ227" i="6"/>
  <c r="M230" i="6"/>
  <c r="Z230" i="6"/>
  <c r="AB230" i="6"/>
  <c r="AC230" i="6"/>
  <c r="AF230" i="6"/>
  <c r="AG230" i="6"/>
  <c r="AH230" i="6"/>
  <c r="AJ230" i="6"/>
  <c r="AK230" i="6"/>
  <c r="AL230" i="6"/>
  <c r="AO230" i="6"/>
  <c r="AW230" i="6" s="1"/>
  <c r="AP230" i="6"/>
  <c r="AX230" i="6" s="1"/>
  <c r="BD230" i="6"/>
  <c r="BF230" i="6"/>
  <c r="BH230" i="6"/>
  <c r="AD230" i="6" s="1"/>
  <c r="BI230" i="6"/>
  <c r="AE230" i="6" s="1"/>
  <c r="BJ230" i="6"/>
  <c r="M232" i="6"/>
  <c r="Z232" i="6"/>
  <c r="AB232" i="6"/>
  <c r="AC232" i="6"/>
  <c r="AF232" i="6"/>
  <c r="AG232" i="6"/>
  <c r="AH232" i="6"/>
  <c r="AJ232" i="6"/>
  <c r="AK232" i="6"/>
  <c r="AL232" i="6"/>
  <c r="AO232" i="6"/>
  <c r="AP232" i="6"/>
  <c r="AW232" i="6"/>
  <c r="AV232" i="6" s="1"/>
  <c r="AX232" i="6"/>
  <c r="BD232" i="6"/>
  <c r="BF232" i="6"/>
  <c r="BH232" i="6"/>
  <c r="AD232" i="6" s="1"/>
  <c r="BI232" i="6"/>
  <c r="AE232" i="6" s="1"/>
  <c r="BJ232" i="6"/>
  <c r="M235" i="6"/>
  <c r="Z235" i="6"/>
  <c r="AB235" i="6"/>
  <c r="AC235" i="6"/>
  <c r="AF235" i="6"/>
  <c r="AG235" i="6"/>
  <c r="AH235" i="6"/>
  <c r="AJ235" i="6"/>
  <c r="AK235" i="6"/>
  <c r="AL235" i="6"/>
  <c r="AO235" i="6"/>
  <c r="AP235" i="6"/>
  <c r="AX235" i="6" s="1"/>
  <c r="BD235" i="6"/>
  <c r="BF235" i="6"/>
  <c r="BI235" i="6"/>
  <c r="AE235" i="6" s="1"/>
  <c r="BJ235" i="6"/>
  <c r="M238" i="6"/>
  <c r="Z238" i="6"/>
  <c r="AB238" i="6"/>
  <c r="AC238" i="6"/>
  <c r="AF238" i="6"/>
  <c r="AG238" i="6"/>
  <c r="AH238" i="6"/>
  <c r="AJ238" i="6"/>
  <c r="AK238" i="6"/>
  <c r="AL238" i="6"/>
  <c r="AO238" i="6"/>
  <c r="AW238" i="6" s="1"/>
  <c r="AP238" i="6"/>
  <c r="AX238" i="6" s="1"/>
  <c r="BD238" i="6"/>
  <c r="BF238" i="6"/>
  <c r="BH238" i="6"/>
  <c r="AD238" i="6" s="1"/>
  <c r="BI238" i="6"/>
  <c r="AE238" i="6" s="1"/>
  <c r="BJ238" i="6"/>
  <c r="M240" i="6"/>
  <c r="Z240" i="6"/>
  <c r="AB240" i="6"/>
  <c r="AC240" i="6"/>
  <c r="AF240" i="6"/>
  <c r="AG240" i="6"/>
  <c r="AH240" i="6"/>
  <c r="AJ240" i="6"/>
  <c r="AK240" i="6"/>
  <c r="AL240" i="6"/>
  <c r="AO240" i="6"/>
  <c r="AW240" i="6" s="1"/>
  <c r="BC240" i="6" s="1"/>
  <c r="AP240" i="6"/>
  <c r="AX240" i="6" s="1"/>
  <c r="BD240" i="6"/>
  <c r="BF240" i="6"/>
  <c r="BH240" i="6"/>
  <c r="AD240" i="6" s="1"/>
  <c r="BI240" i="6"/>
  <c r="AE240" i="6" s="1"/>
  <c r="BJ240" i="6"/>
  <c r="M243" i="6"/>
  <c r="Z243" i="6"/>
  <c r="AB243" i="6"/>
  <c r="AC243" i="6"/>
  <c r="AF243" i="6"/>
  <c r="AG243" i="6"/>
  <c r="AH243" i="6"/>
  <c r="AJ243" i="6"/>
  <c r="AK243" i="6"/>
  <c r="AL243" i="6"/>
  <c r="AO243" i="6"/>
  <c r="AP243" i="6"/>
  <c r="AW243" i="6"/>
  <c r="AX243" i="6"/>
  <c r="BD243" i="6"/>
  <c r="BF243" i="6"/>
  <c r="BH243" i="6"/>
  <c r="AD243" i="6" s="1"/>
  <c r="BI243" i="6"/>
  <c r="AE243" i="6" s="1"/>
  <c r="BJ243" i="6"/>
  <c r="M245" i="6"/>
  <c r="AL245" i="6" s="1"/>
  <c r="Z245" i="6"/>
  <c r="AB245" i="6"/>
  <c r="AC245" i="6"/>
  <c r="AF245" i="6"/>
  <c r="AG245" i="6"/>
  <c r="AH245" i="6"/>
  <c r="AJ245" i="6"/>
  <c r="AK245" i="6"/>
  <c r="AO245" i="6"/>
  <c r="AW245" i="6" s="1"/>
  <c r="AP245" i="6"/>
  <c r="AX245" i="6"/>
  <c r="BD245" i="6"/>
  <c r="BF245" i="6"/>
  <c r="BH245" i="6"/>
  <c r="AD245" i="6" s="1"/>
  <c r="BI245" i="6"/>
  <c r="AE245" i="6" s="1"/>
  <c r="BJ245" i="6"/>
  <c r="M248" i="6"/>
  <c r="Z248" i="6"/>
  <c r="AB248" i="6"/>
  <c r="AC248" i="6"/>
  <c r="AF248" i="6"/>
  <c r="AG248" i="6"/>
  <c r="AH248" i="6"/>
  <c r="AJ248" i="6"/>
  <c r="AK248" i="6"/>
  <c r="AL248" i="6"/>
  <c r="AO248" i="6"/>
  <c r="AW248" i="6" s="1"/>
  <c r="AP248" i="6"/>
  <c r="AX248" i="6" s="1"/>
  <c r="BC248" i="6"/>
  <c r="BD248" i="6"/>
  <c r="BF248" i="6"/>
  <c r="BH248" i="6"/>
  <c r="AD248" i="6" s="1"/>
  <c r="BI248" i="6"/>
  <c r="AE248" i="6" s="1"/>
  <c r="BJ248" i="6"/>
  <c r="M250" i="6"/>
  <c r="Z250" i="6"/>
  <c r="AB250" i="6"/>
  <c r="AC250" i="6"/>
  <c r="AF250" i="6"/>
  <c r="AG250" i="6"/>
  <c r="AH250" i="6"/>
  <c r="AJ250" i="6"/>
  <c r="AK250" i="6"/>
  <c r="AL250" i="6"/>
  <c r="AO250" i="6"/>
  <c r="AP250" i="6"/>
  <c r="AX250" i="6" s="1"/>
  <c r="AW250" i="6"/>
  <c r="AV250" i="6" s="1"/>
  <c r="BD250" i="6"/>
  <c r="BF250" i="6"/>
  <c r="BH250" i="6"/>
  <c r="AD250" i="6" s="1"/>
  <c r="BI250" i="6"/>
  <c r="AE250" i="6" s="1"/>
  <c r="BJ250" i="6"/>
  <c r="M253" i="6"/>
  <c r="AB253" i="6"/>
  <c r="AC253" i="6"/>
  <c r="AD253" i="6"/>
  <c r="AE253" i="6"/>
  <c r="AF253" i="6"/>
  <c r="AG253" i="6"/>
  <c r="AH253" i="6"/>
  <c r="AJ253" i="6"/>
  <c r="AK253" i="6"/>
  <c r="AL253" i="6"/>
  <c r="AO253" i="6"/>
  <c r="AP253" i="6"/>
  <c r="AW253" i="6"/>
  <c r="AV253" i="6" s="1"/>
  <c r="AX253" i="6"/>
  <c r="BD253" i="6"/>
  <c r="BF253" i="6"/>
  <c r="BH253" i="6"/>
  <c r="BI253" i="6"/>
  <c r="BJ253" i="6"/>
  <c r="Z253" i="6" s="1"/>
  <c r="M255" i="6"/>
  <c r="AL255" i="6" s="1"/>
  <c r="Z255" i="6"/>
  <c r="AB255" i="6"/>
  <c r="AC255" i="6"/>
  <c r="AF255" i="6"/>
  <c r="AG255" i="6"/>
  <c r="AH255" i="6"/>
  <c r="AJ255" i="6"/>
  <c r="AK255" i="6"/>
  <c r="AO255" i="6"/>
  <c r="AW255" i="6" s="1"/>
  <c r="AP255" i="6"/>
  <c r="AX255" i="6" s="1"/>
  <c r="BD255" i="6"/>
  <c r="BF255" i="6"/>
  <c r="BI255" i="6"/>
  <c r="AE255" i="6" s="1"/>
  <c r="BJ255" i="6"/>
  <c r="M257" i="6"/>
  <c r="AL257" i="6" s="1"/>
  <c r="Z257" i="6"/>
  <c r="AB257" i="6"/>
  <c r="AC257" i="6"/>
  <c r="AE257" i="6"/>
  <c r="AF257" i="6"/>
  <c r="AG257" i="6"/>
  <c r="AH257" i="6"/>
  <c r="AJ257" i="6"/>
  <c r="AK257" i="6"/>
  <c r="AO257" i="6"/>
  <c r="AP257" i="6"/>
  <c r="AX257" i="6" s="1"/>
  <c r="BC257" i="6" s="1"/>
  <c r="AV257" i="6"/>
  <c r="AW257" i="6"/>
  <c r="BD257" i="6"/>
  <c r="BF257" i="6"/>
  <c r="BH257" i="6"/>
  <c r="AD257" i="6" s="1"/>
  <c r="BI257" i="6"/>
  <c r="BJ257" i="6"/>
  <c r="M259" i="6"/>
  <c r="Z259" i="6"/>
  <c r="AB259" i="6"/>
  <c r="AC259" i="6"/>
  <c r="AF259" i="6"/>
  <c r="AG259" i="6"/>
  <c r="AH259" i="6"/>
  <c r="AJ259" i="6"/>
  <c r="AK259" i="6"/>
  <c r="AL259" i="6"/>
  <c r="AO259" i="6"/>
  <c r="AP259" i="6"/>
  <c r="AV259" i="6"/>
  <c r="AW259" i="6"/>
  <c r="BC259" i="6" s="1"/>
  <c r="AX259" i="6"/>
  <c r="BD259" i="6"/>
  <c r="BF259" i="6"/>
  <c r="BH259" i="6"/>
  <c r="AD259" i="6" s="1"/>
  <c r="BI259" i="6"/>
  <c r="AE259" i="6" s="1"/>
  <c r="BJ259" i="6"/>
  <c r="M261" i="6"/>
  <c r="AL261" i="6" s="1"/>
  <c r="Z261" i="6"/>
  <c r="AB261" i="6"/>
  <c r="AC261" i="6"/>
  <c r="AF261" i="6"/>
  <c r="AG261" i="6"/>
  <c r="AH261" i="6"/>
  <c r="AJ261" i="6"/>
  <c r="AK261" i="6"/>
  <c r="AO261" i="6"/>
  <c r="AP261" i="6"/>
  <c r="AW261" i="6"/>
  <c r="AX261" i="6"/>
  <c r="BD261" i="6"/>
  <c r="BF261" i="6"/>
  <c r="BH261" i="6"/>
  <c r="AD261" i="6" s="1"/>
  <c r="BI261" i="6"/>
  <c r="AE261" i="6" s="1"/>
  <c r="BJ261" i="6"/>
  <c r="M263" i="6"/>
  <c r="AL263" i="6" s="1"/>
  <c r="Z263" i="6"/>
  <c r="AB263" i="6"/>
  <c r="AC263" i="6"/>
  <c r="AF263" i="6"/>
  <c r="AG263" i="6"/>
  <c r="AH263" i="6"/>
  <c r="AJ263" i="6"/>
  <c r="AS254" i="6" s="1"/>
  <c r="AK263" i="6"/>
  <c r="AO263" i="6"/>
  <c r="AW263" i="6" s="1"/>
  <c r="BC263" i="6" s="1"/>
  <c r="AP263" i="6"/>
  <c r="AX263" i="6"/>
  <c r="BD263" i="6"/>
  <c r="BF263" i="6"/>
  <c r="BH263" i="6"/>
  <c r="AD263" i="6" s="1"/>
  <c r="BI263" i="6"/>
  <c r="AE263" i="6" s="1"/>
  <c r="BJ263" i="6"/>
  <c r="M265" i="6"/>
  <c r="Z265" i="6"/>
  <c r="AB265" i="6"/>
  <c r="AC265" i="6"/>
  <c r="AF265" i="6"/>
  <c r="AG265" i="6"/>
  <c r="AH265" i="6"/>
  <c r="AJ265" i="6"/>
  <c r="AK265" i="6"/>
  <c r="AL265" i="6"/>
  <c r="AO265" i="6"/>
  <c r="AW265" i="6" s="1"/>
  <c r="AP265" i="6"/>
  <c r="AX265" i="6" s="1"/>
  <c r="BC265" i="6"/>
  <c r="BD265" i="6"/>
  <c r="BF265" i="6"/>
  <c r="BH265" i="6"/>
  <c r="AD265" i="6" s="1"/>
  <c r="BI265" i="6"/>
  <c r="AE265" i="6" s="1"/>
  <c r="BJ265" i="6"/>
  <c r="M267" i="6"/>
  <c r="Z267" i="6"/>
  <c r="AB267" i="6"/>
  <c r="AC267" i="6"/>
  <c r="AF267" i="6"/>
  <c r="AG267" i="6"/>
  <c r="AH267" i="6"/>
  <c r="AJ267" i="6"/>
  <c r="AK267" i="6"/>
  <c r="AL267" i="6"/>
  <c r="AO267" i="6"/>
  <c r="AP267" i="6"/>
  <c r="AX267" i="6" s="1"/>
  <c r="AV267" i="6" s="1"/>
  <c r="AW267" i="6"/>
  <c r="BC267" i="6" s="1"/>
  <c r="BD267" i="6"/>
  <c r="BF267" i="6"/>
  <c r="BH267" i="6"/>
  <c r="AD267" i="6" s="1"/>
  <c r="BI267" i="6"/>
  <c r="AE267" i="6" s="1"/>
  <c r="BJ267" i="6"/>
  <c r="M269" i="6"/>
  <c r="AB269" i="6"/>
  <c r="AC269" i="6"/>
  <c r="AD269" i="6"/>
  <c r="AE269" i="6"/>
  <c r="AF269" i="6"/>
  <c r="AG269" i="6"/>
  <c r="AH269" i="6"/>
  <c r="AJ269" i="6"/>
  <c r="AK269" i="6"/>
  <c r="AL269" i="6"/>
  <c r="AO269" i="6"/>
  <c r="AW269" i="6" s="1"/>
  <c r="AP269" i="6"/>
  <c r="AX269" i="6"/>
  <c r="BD269" i="6"/>
  <c r="BF269" i="6"/>
  <c r="BH269" i="6"/>
  <c r="BI269" i="6"/>
  <c r="BJ269" i="6"/>
  <c r="Z269" i="6" s="1"/>
  <c r="AT270" i="6"/>
  <c r="M271" i="6"/>
  <c r="Z271" i="6"/>
  <c r="AB271" i="6"/>
  <c r="AC271" i="6"/>
  <c r="AF271" i="6"/>
  <c r="AG271" i="6"/>
  <c r="AH271" i="6"/>
  <c r="AJ271" i="6"/>
  <c r="AS270" i="6" s="1"/>
  <c r="AK271" i="6"/>
  <c r="AO271" i="6"/>
  <c r="AW271" i="6" s="1"/>
  <c r="AP271" i="6"/>
  <c r="AX271" i="6"/>
  <c r="BC271" i="6"/>
  <c r="BD271" i="6"/>
  <c r="BF271" i="6"/>
  <c r="BH271" i="6"/>
  <c r="AD271" i="6" s="1"/>
  <c r="BI271" i="6"/>
  <c r="AE271" i="6" s="1"/>
  <c r="BJ271" i="6"/>
  <c r="AT273" i="6"/>
  <c r="M274" i="6"/>
  <c r="Z274" i="6"/>
  <c r="AB274" i="6"/>
  <c r="AC274" i="6"/>
  <c r="AF274" i="6"/>
  <c r="AG274" i="6"/>
  <c r="AH274" i="6"/>
  <c r="AJ274" i="6"/>
  <c r="AK274" i="6"/>
  <c r="AL274" i="6"/>
  <c r="AO274" i="6"/>
  <c r="AP274" i="6"/>
  <c r="AX274" i="6" s="1"/>
  <c r="BC274" i="6" s="1"/>
  <c r="AV274" i="6"/>
  <c r="AW274" i="6"/>
  <c r="BD274" i="6"/>
  <c r="BF274" i="6"/>
  <c r="BH274" i="6"/>
  <c r="AD274" i="6" s="1"/>
  <c r="BI274" i="6"/>
  <c r="AE274" i="6" s="1"/>
  <c r="BJ274" i="6"/>
  <c r="M277" i="6"/>
  <c r="Z277" i="6"/>
  <c r="AB277" i="6"/>
  <c r="AC277" i="6"/>
  <c r="AF277" i="6"/>
  <c r="AG277" i="6"/>
  <c r="AH277" i="6"/>
  <c r="AJ277" i="6"/>
  <c r="AK277" i="6"/>
  <c r="AL277" i="6"/>
  <c r="AO277" i="6"/>
  <c r="AP277" i="6"/>
  <c r="AV277" i="6"/>
  <c r="AW277" i="6"/>
  <c r="BC277" i="6" s="1"/>
  <c r="AX277" i="6"/>
  <c r="BD277" i="6"/>
  <c r="BF277" i="6"/>
  <c r="BH277" i="6"/>
  <c r="AD277" i="6" s="1"/>
  <c r="BI277" i="6"/>
  <c r="AE277" i="6" s="1"/>
  <c r="BJ277" i="6"/>
  <c r="M279" i="6"/>
  <c r="AL279" i="6" s="1"/>
  <c r="Z279" i="6"/>
  <c r="AB279" i="6"/>
  <c r="AC279" i="6"/>
  <c r="AF279" i="6"/>
  <c r="AG279" i="6"/>
  <c r="AH279" i="6"/>
  <c r="AJ279" i="6"/>
  <c r="AK279" i="6"/>
  <c r="AO279" i="6"/>
  <c r="AP279" i="6"/>
  <c r="AW279" i="6"/>
  <c r="AX279" i="6"/>
  <c r="BD279" i="6"/>
  <c r="BF279" i="6"/>
  <c r="BH279" i="6"/>
  <c r="AD279" i="6" s="1"/>
  <c r="BI279" i="6"/>
  <c r="AE279" i="6" s="1"/>
  <c r="BJ279" i="6"/>
  <c r="M282" i="6"/>
  <c r="AL282" i="6" s="1"/>
  <c r="Z282" i="6"/>
  <c r="AB282" i="6"/>
  <c r="AC282" i="6"/>
  <c r="AF282" i="6"/>
  <c r="AG282" i="6"/>
  <c r="AH282" i="6"/>
  <c r="AJ282" i="6"/>
  <c r="AS273" i="6" s="1"/>
  <c r="AK282" i="6"/>
  <c r="AO282" i="6"/>
  <c r="AW282" i="6" s="1"/>
  <c r="AV282" i="6" s="1"/>
  <c r="AP282" i="6"/>
  <c r="AX282" i="6"/>
  <c r="BD282" i="6"/>
  <c r="BF282" i="6"/>
  <c r="BH282" i="6"/>
  <c r="AD282" i="6" s="1"/>
  <c r="BI282" i="6"/>
  <c r="AE282" i="6" s="1"/>
  <c r="BJ282" i="6"/>
  <c r="M284" i="6"/>
  <c r="Z284" i="6"/>
  <c r="AB284" i="6"/>
  <c r="AC284" i="6"/>
  <c r="AF284" i="6"/>
  <c r="AG284" i="6"/>
  <c r="AH284" i="6"/>
  <c r="AJ284" i="6"/>
  <c r="AK284" i="6"/>
  <c r="AL284" i="6"/>
  <c r="AO284" i="6"/>
  <c r="AW284" i="6" s="1"/>
  <c r="AP284" i="6"/>
  <c r="AX284" i="6" s="1"/>
  <c r="BC284" i="6"/>
  <c r="BD284" i="6"/>
  <c r="BF284" i="6"/>
  <c r="BH284" i="6"/>
  <c r="AD284" i="6" s="1"/>
  <c r="BI284" i="6"/>
  <c r="AE284" i="6" s="1"/>
  <c r="BJ284" i="6"/>
  <c r="M286" i="6"/>
  <c r="Z286" i="6"/>
  <c r="AB286" i="6"/>
  <c r="AC286" i="6"/>
  <c r="AF286" i="6"/>
  <c r="AG286" i="6"/>
  <c r="AH286" i="6"/>
  <c r="AJ286" i="6"/>
  <c r="AK286" i="6"/>
  <c r="AL286" i="6"/>
  <c r="AO286" i="6"/>
  <c r="AP286" i="6"/>
  <c r="AX286" i="6" s="1"/>
  <c r="AV286" i="6" s="1"/>
  <c r="AW286" i="6"/>
  <c r="BC286" i="6" s="1"/>
  <c r="BD286" i="6"/>
  <c r="BF286" i="6"/>
  <c r="BH286" i="6"/>
  <c r="AD286" i="6" s="1"/>
  <c r="BI286" i="6"/>
  <c r="AE286" i="6" s="1"/>
  <c r="BJ286" i="6"/>
  <c r="M288" i="6"/>
  <c r="Z288" i="6"/>
  <c r="AB288" i="6"/>
  <c r="AC288" i="6"/>
  <c r="AF288" i="6"/>
  <c r="AG288" i="6"/>
  <c r="AH288" i="6"/>
  <c r="AJ288" i="6"/>
  <c r="AK288" i="6"/>
  <c r="AL288" i="6"/>
  <c r="AO288" i="6"/>
  <c r="AW288" i="6" s="1"/>
  <c r="AP288" i="6"/>
  <c r="AX288" i="6"/>
  <c r="BD288" i="6"/>
  <c r="BF288" i="6"/>
  <c r="BH288" i="6"/>
  <c r="AD288" i="6" s="1"/>
  <c r="BI288" i="6"/>
  <c r="AE288" i="6" s="1"/>
  <c r="BJ288" i="6"/>
  <c r="M290" i="6"/>
  <c r="AL290" i="6" s="1"/>
  <c r="Z290" i="6"/>
  <c r="AB290" i="6"/>
  <c r="AC290" i="6"/>
  <c r="AD290" i="6"/>
  <c r="AF290" i="6"/>
  <c r="AG290" i="6"/>
  <c r="AH290" i="6"/>
  <c r="AJ290" i="6"/>
  <c r="AK290" i="6"/>
  <c r="AO290" i="6"/>
  <c r="AW290" i="6" s="1"/>
  <c r="AP290" i="6"/>
  <c r="AX290" i="6" s="1"/>
  <c r="BD290" i="6"/>
  <c r="BF290" i="6"/>
  <c r="BH290" i="6"/>
  <c r="BJ290" i="6"/>
  <c r="M293" i="6"/>
  <c r="Z293" i="6"/>
  <c r="AB293" i="6"/>
  <c r="AC293" i="6"/>
  <c r="AF293" i="6"/>
  <c r="AG293" i="6"/>
  <c r="AH293" i="6"/>
  <c r="AJ293" i="6"/>
  <c r="AK293" i="6"/>
  <c r="AL293" i="6"/>
  <c r="AO293" i="6"/>
  <c r="AP293" i="6"/>
  <c r="AX293" i="6" s="1"/>
  <c r="BC293" i="6" s="1"/>
  <c r="AV293" i="6"/>
  <c r="AW293" i="6"/>
  <c r="BD293" i="6"/>
  <c r="BF293" i="6"/>
  <c r="BH293" i="6"/>
  <c r="AD293" i="6" s="1"/>
  <c r="BI293" i="6"/>
  <c r="AE293" i="6" s="1"/>
  <c r="BJ293" i="6"/>
  <c r="M295" i="6"/>
  <c r="Z295" i="6"/>
  <c r="AB295" i="6"/>
  <c r="AC295" i="6"/>
  <c r="AF295" i="6"/>
  <c r="AG295" i="6"/>
  <c r="AH295" i="6"/>
  <c r="AJ295" i="6"/>
  <c r="AK295" i="6"/>
  <c r="AL295" i="6"/>
  <c r="AO295" i="6"/>
  <c r="AP295" i="6"/>
  <c r="AV295" i="6"/>
  <c r="AW295" i="6"/>
  <c r="BC295" i="6" s="1"/>
  <c r="AX295" i="6"/>
  <c r="BD295" i="6"/>
  <c r="BF295" i="6"/>
  <c r="BH295" i="6"/>
  <c r="AD295" i="6" s="1"/>
  <c r="BI295" i="6"/>
  <c r="AE295" i="6" s="1"/>
  <c r="BJ295" i="6"/>
  <c r="M297" i="6"/>
  <c r="AL297" i="6" s="1"/>
  <c r="Z297" i="6"/>
  <c r="AB297" i="6"/>
  <c r="AC297" i="6"/>
  <c r="AF297" i="6"/>
  <c r="AG297" i="6"/>
  <c r="AH297" i="6"/>
  <c r="AJ297" i="6"/>
  <c r="AK297" i="6"/>
  <c r="AO297" i="6"/>
  <c r="AP297" i="6"/>
  <c r="AW297" i="6"/>
  <c r="AX297" i="6"/>
  <c r="BD297" i="6"/>
  <c r="BF297" i="6"/>
  <c r="BH297" i="6"/>
  <c r="AD297" i="6" s="1"/>
  <c r="BI297" i="6"/>
  <c r="AE297" i="6" s="1"/>
  <c r="BJ297" i="6"/>
  <c r="M300" i="6"/>
  <c r="AL300" i="6" s="1"/>
  <c r="Z300" i="6"/>
  <c r="AB300" i="6"/>
  <c r="AC300" i="6"/>
  <c r="AF300" i="6"/>
  <c r="AG300" i="6"/>
  <c r="AH300" i="6"/>
  <c r="AJ300" i="6"/>
  <c r="AK300" i="6"/>
  <c r="AO300" i="6"/>
  <c r="AW300" i="6" s="1"/>
  <c r="AV300" i="6" s="1"/>
  <c r="AP300" i="6"/>
  <c r="AX300" i="6"/>
  <c r="BD300" i="6"/>
  <c r="BF300" i="6"/>
  <c r="BH300" i="6"/>
  <c r="AD300" i="6" s="1"/>
  <c r="BI300" i="6"/>
  <c r="AE300" i="6" s="1"/>
  <c r="BJ300" i="6"/>
  <c r="M302" i="6"/>
  <c r="Z302" i="6"/>
  <c r="AB302" i="6"/>
  <c r="AC302" i="6"/>
  <c r="AF302" i="6"/>
  <c r="AG302" i="6"/>
  <c r="AH302" i="6"/>
  <c r="AJ302" i="6"/>
  <c r="AK302" i="6"/>
  <c r="AL302" i="6"/>
  <c r="AO302" i="6"/>
  <c r="AP302" i="6"/>
  <c r="AX302" i="6" s="1"/>
  <c r="BC302" i="6" s="1"/>
  <c r="AW302" i="6"/>
  <c r="AV302" i="6" s="1"/>
  <c r="BD302" i="6"/>
  <c r="BF302" i="6"/>
  <c r="BH302" i="6"/>
  <c r="AD302" i="6" s="1"/>
  <c r="BI302" i="6"/>
  <c r="AE302" i="6" s="1"/>
  <c r="BJ302" i="6"/>
  <c r="M305" i="6"/>
  <c r="Z305" i="6"/>
  <c r="AB305" i="6"/>
  <c r="AC305" i="6"/>
  <c r="AF305" i="6"/>
  <c r="AG305" i="6"/>
  <c r="AH305" i="6"/>
  <c r="AJ305" i="6"/>
  <c r="AK305" i="6"/>
  <c r="AL305" i="6"/>
  <c r="AO305" i="6"/>
  <c r="AP305" i="6"/>
  <c r="AX305" i="6" s="1"/>
  <c r="AV305" i="6" s="1"/>
  <c r="AW305" i="6"/>
  <c r="BC305" i="6" s="1"/>
  <c r="BD305" i="6"/>
  <c r="BF305" i="6"/>
  <c r="BH305" i="6"/>
  <c r="AD305" i="6" s="1"/>
  <c r="BI305" i="6"/>
  <c r="AE305" i="6" s="1"/>
  <c r="BJ305" i="6"/>
  <c r="M308" i="6"/>
  <c r="AB308" i="6"/>
  <c r="AC308" i="6"/>
  <c r="AD308" i="6"/>
  <c r="AE308" i="6"/>
  <c r="AF308" i="6"/>
  <c r="AG308" i="6"/>
  <c r="AH308" i="6"/>
  <c r="AJ308" i="6"/>
  <c r="AK308" i="6"/>
  <c r="AL308" i="6"/>
  <c r="AO308" i="6"/>
  <c r="AW308" i="6" s="1"/>
  <c r="AP308" i="6"/>
  <c r="AX308" i="6"/>
  <c r="BD308" i="6"/>
  <c r="BF308" i="6"/>
  <c r="BI308" i="6"/>
  <c r="BJ308" i="6"/>
  <c r="Z308" i="6" s="1"/>
  <c r="M310" i="6"/>
  <c r="Z310" i="6"/>
  <c r="AB310" i="6"/>
  <c r="AC310" i="6"/>
  <c r="AF310" i="6"/>
  <c r="AG310" i="6"/>
  <c r="AH310" i="6"/>
  <c r="AJ310" i="6"/>
  <c r="AK310" i="6"/>
  <c r="AO310" i="6"/>
  <c r="AW310" i="6" s="1"/>
  <c r="AV310" i="6" s="1"/>
  <c r="AP310" i="6"/>
  <c r="AX310" i="6"/>
  <c r="BD310" i="6"/>
  <c r="BF310" i="6"/>
  <c r="BH310" i="6"/>
  <c r="AD310" i="6" s="1"/>
  <c r="BI310" i="6"/>
  <c r="AE310" i="6" s="1"/>
  <c r="BJ310" i="6"/>
  <c r="M312" i="6"/>
  <c r="Z312" i="6"/>
  <c r="AB312" i="6"/>
  <c r="AC312" i="6"/>
  <c r="AF312" i="6"/>
  <c r="AG312" i="6"/>
  <c r="AH312" i="6"/>
  <c r="AJ312" i="6"/>
  <c r="AK312" i="6"/>
  <c r="AT309" i="6" s="1"/>
  <c r="AL312" i="6"/>
  <c r="AO312" i="6"/>
  <c r="AP312" i="6"/>
  <c r="AX312" i="6" s="1"/>
  <c r="AW312" i="6"/>
  <c r="AV312" i="6" s="1"/>
  <c r="BC312" i="6"/>
  <c r="BD312" i="6"/>
  <c r="BF312" i="6"/>
  <c r="BH312" i="6"/>
  <c r="AD312" i="6" s="1"/>
  <c r="BI312" i="6"/>
  <c r="AE312" i="6" s="1"/>
  <c r="BJ312" i="6"/>
  <c r="M315" i="6"/>
  <c r="Z315" i="6"/>
  <c r="AB315" i="6"/>
  <c r="AC315" i="6"/>
  <c r="AF315" i="6"/>
  <c r="AG315" i="6"/>
  <c r="AH315" i="6"/>
  <c r="AJ315" i="6"/>
  <c r="AK315" i="6"/>
  <c r="AL315" i="6"/>
  <c r="AO315" i="6"/>
  <c r="AP315" i="6"/>
  <c r="AX315" i="6" s="1"/>
  <c r="AV315" i="6" s="1"/>
  <c r="AW315" i="6"/>
  <c r="BC315" i="6" s="1"/>
  <c r="BD315" i="6"/>
  <c r="BF315" i="6"/>
  <c r="BH315" i="6"/>
  <c r="AD315" i="6" s="1"/>
  <c r="BI315" i="6"/>
  <c r="AE315" i="6" s="1"/>
  <c r="BJ315" i="6"/>
  <c r="M317" i="6"/>
  <c r="Z317" i="6"/>
  <c r="AB317" i="6"/>
  <c r="AC317" i="6"/>
  <c r="AF317" i="6"/>
  <c r="AG317" i="6"/>
  <c r="AH317" i="6"/>
  <c r="AJ317" i="6"/>
  <c r="AK317" i="6"/>
  <c r="AL317" i="6"/>
  <c r="AO317" i="6"/>
  <c r="AW317" i="6" s="1"/>
  <c r="AP317" i="6"/>
  <c r="AX317" i="6"/>
  <c r="BD317" i="6"/>
  <c r="BF317" i="6"/>
  <c r="BH317" i="6"/>
  <c r="AD317" i="6" s="1"/>
  <c r="BI317" i="6"/>
  <c r="AE317" i="6" s="1"/>
  <c r="BJ317" i="6"/>
  <c r="M319" i="6"/>
  <c r="AL319" i="6" s="1"/>
  <c r="Z319" i="6"/>
  <c r="AB319" i="6"/>
  <c r="AC319" i="6"/>
  <c r="AD319" i="6"/>
  <c r="AF319" i="6"/>
  <c r="AG319" i="6"/>
  <c r="AH319" i="6"/>
  <c r="AJ319" i="6"/>
  <c r="AK319" i="6"/>
  <c r="AO319" i="6"/>
  <c r="AW319" i="6" s="1"/>
  <c r="AP319" i="6"/>
  <c r="AX319" i="6" s="1"/>
  <c r="BD319" i="6"/>
  <c r="BF319" i="6"/>
  <c r="BH319" i="6"/>
  <c r="BJ319" i="6"/>
  <c r="M321" i="6"/>
  <c r="Z321" i="6"/>
  <c r="AB321" i="6"/>
  <c r="AC321" i="6"/>
  <c r="AF321" i="6"/>
  <c r="AG321" i="6"/>
  <c r="AH321" i="6"/>
  <c r="AJ321" i="6"/>
  <c r="AK321" i="6"/>
  <c r="AL321" i="6"/>
  <c r="AO321" i="6"/>
  <c r="AP321" i="6"/>
  <c r="AX321" i="6" s="1"/>
  <c r="BC321" i="6" s="1"/>
  <c r="AV321" i="6"/>
  <c r="AW321" i="6"/>
  <c r="BD321" i="6"/>
  <c r="BF321" i="6"/>
  <c r="BH321" i="6"/>
  <c r="AD321" i="6" s="1"/>
  <c r="BI321" i="6"/>
  <c r="AE321" i="6" s="1"/>
  <c r="BJ321" i="6"/>
  <c r="M323" i="6"/>
  <c r="Z323" i="6"/>
  <c r="AB323" i="6"/>
  <c r="AC323" i="6"/>
  <c r="AF323" i="6"/>
  <c r="AG323" i="6"/>
  <c r="AH323" i="6"/>
  <c r="AJ323" i="6"/>
  <c r="AK323" i="6"/>
  <c r="AL323" i="6"/>
  <c r="AO323" i="6"/>
  <c r="AP323" i="6"/>
  <c r="AV323" i="6"/>
  <c r="AW323" i="6"/>
  <c r="BC323" i="6" s="1"/>
  <c r="AX323" i="6"/>
  <c r="BD323" i="6"/>
  <c r="BF323" i="6"/>
  <c r="BH323" i="6"/>
  <c r="AD323" i="6" s="1"/>
  <c r="BI323" i="6"/>
  <c r="AE323" i="6" s="1"/>
  <c r="BJ323" i="6"/>
  <c r="M325" i="6"/>
  <c r="AL325" i="6" s="1"/>
  <c r="Z325" i="6"/>
  <c r="AB325" i="6"/>
  <c r="AC325" i="6"/>
  <c r="AF325" i="6"/>
  <c r="AG325" i="6"/>
  <c r="AH325" i="6"/>
  <c r="AJ325" i="6"/>
  <c r="AK325" i="6"/>
  <c r="AO325" i="6"/>
  <c r="AP325" i="6"/>
  <c r="AW325" i="6"/>
  <c r="AX325" i="6"/>
  <c r="BD325" i="6"/>
  <c r="BF325" i="6"/>
  <c r="BH325" i="6"/>
  <c r="AD325" i="6" s="1"/>
  <c r="BI325" i="6"/>
  <c r="AE325" i="6" s="1"/>
  <c r="BJ325" i="6"/>
  <c r="M327" i="6"/>
  <c r="AL327" i="6" s="1"/>
  <c r="Z327" i="6"/>
  <c r="AB327" i="6"/>
  <c r="AC327" i="6"/>
  <c r="AF327" i="6"/>
  <c r="AG327" i="6"/>
  <c r="AH327" i="6"/>
  <c r="AJ327" i="6"/>
  <c r="AK327" i="6"/>
  <c r="AO327" i="6"/>
  <c r="AW327" i="6" s="1"/>
  <c r="AV327" i="6" s="1"/>
  <c r="AP327" i="6"/>
  <c r="AX327" i="6"/>
  <c r="BD327" i="6"/>
  <c r="BF327" i="6"/>
  <c r="BH327" i="6"/>
  <c r="AD327" i="6" s="1"/>
  <c r="BI327" i="6"/>
  <c r="AE327" i="6" s="1"/>
  <c r="BJ327" i="6"/>
  <c r="M330" i="6"/>
  <c r="Z330" i="6"/>
  <c r="AB330" i="6"/>
  <c r="AC330" i="6"/>
  <c r="AF330" i="6"/>
  <c r="AG330" i="6"/>
  <c r="AH330" i="6"/>
  <c r="AJ330" i="6"/>
  <c r="AK330" i="6"/>
  <c r="AL330" i="6"/>
  <c r="AO330" i="6"/>
  <c r="AP330" i="6"/>
  <c r="AX330" i="6" s="1"/>
  <c r="BC330" i="6" s="1"/>
  <c r="AW330" i="6"/>
  <c r="AV330" i="6" s="1"/>
  <c r="BD330" i="6"/>
  <c r="BF330" i="6"/>
  <c r="BH330" i="6"/>
  <c r="AD330" i="6" s="1"/>
  <c r="BI330" i="6"/>
  <c r="AE330" i="6" s="1"/>
  <c r="BJ330" i="6"/>
  <c r="M332" i="6"/>
  <c r="Z332" i="6"/>
  <c r="AB332" i="6"/>
  <c r="AC332" i="6"/>
  <c r="AF332" i="6"/>
  <c r="AG332" i="6"/>
  <c r="AH332" i="6"/>
  <c r="AJ332" i="6"/>
  <c r="AK332" i="6"/>
  <c r="AL332" i="6"/>
  <c r="AO332" i="6"/>
  <c r="AP332" i="6"/>
  <c r="AX332" i="6" s="1"/>
  <c r="AV332" i="6" s="1"/>
  <c r="AW332" i="6"/>
  <c r="BC332" i="6" s="1"/>
  <c r="BD332" i="6"/>
  <c r="BF332" i="6"/>
  <c r="BH332" i="6"/>
  <c r="AD332" i="6" s="1"/>
  <c r="BI332" i="6"/>
  <c r="AE332" i="6" s="1"/>
  <c r="BJ332" i="6"/>
  <c r="M334" i="6"/>
  <c r="Z334" i="6"/>
  <c r="AB334" i="6"/>
  <c r="AC334" i="6"/>
  <c r="AF334" i="6"/>
  <c r="AG334" i="6"/>
  <c r="AH334" i="6"/>
  <c r="AJ334" i="6"/>
  <c r="AK334" i="6"/>
  <c r="AL334" i="6"/>
  <c r="AO334" i="6"/>
  <c r="AW334" i="6" s="1"/>
  <c r="AP334" i="6"/>
  <c r="AX334" i="6"/>
  <c r="BD334" i="6"/>
  <c r="BF334" i="6"/>
  <c r="BI334" i="6"/>
  <c r="AE334" i="6" s="1"/>
  <c r="BJ334" i="6"/>
  <c r="M336" i="6"/>
  <c r="AL336" i="6" s="1"/>
  <c r="Z336" i="6"/>
  <c r="AB336" i="6"/>
  <c r="AC336" i="6"/>
  <c r="AD336" i="6"/>
  <c r="AE336" i="6"/>
  <c r="AF336" i="6"/>
  <c r="AG336" i="6"/>
  <c r="AH336" i="6"/>
  <c r="AJ336" i="6"/>
  <c r="AK336" i="6"/>
  <c r="AO336" i="6"/>
  <c r="AW336" i="6" s="1"/>
  <c r="AP336" i="6"/>
  <c r="AX336" i="6" s="1"/>
  <c r="BD336" i="6"/>
  <c r="BF336" i="6"/>
  <c r="BH336" i="6"/>
  <c r="BJ336" i="6"/>
  <c r="M338" i="6"/>
  <c r="Z338" i="6"/>
  <c r="AB338" i="6"/>
  <c r="AC338" i="6"/>
  <c r="AF338" i="6"/>
  <c r="AG338" i="6"/>
  <c r="AH338" i="6"/>
  <c r="AJ338" i="6"/>
  <c r="AK338" i="6"/>
  <c r="AL338" i="6"/>
  <c r="AO338" i="6"/>
  <c r="AW338" i="6" s="1"/>
  <c r="AV338" i="6" s="1"/>
  <c r="AP338" i="6"/>
  <c r="AX338" i="6" s="1"/>
  <c r="BC338" i="6"/>
  <c r="BD338" i="6"/>
  <c r="BF338" i="6"/>
  <c r="BH338" i="6"/>
  <c r="AD338" i="6" s="1"/>
  <c r="BI338" i="6"/>
  <c r="AE338" i="6" s="1"/>
  <c r="BJ338" i="6"/>
  <c r="M340" i="6"/>
  <c r="M337" i="6" s="1"/>
  <c r="Z340" i="6"/>
  <c r="AB340" i="6"/>
  <c r="AC340" i="6"/>
  <c r="AF340" i="6"/>
  <c r="AG340" i="6"/>
  <c r="AH340" i="6"/>
  <c r="AJ340" i="6"/>
  <c r="AK340" i="6"/>
  <c r="AL340" i="6"/>
  <c r="AO340" i="6"/>
  <c r="AP340" i="6"/>
  <c r="AX340" i="6" s="1"/>
  <c r="AV340" i="6" s="1"/>
  <c r="AW340" i="6"/>
  <c r="BD340" i="6"/>
  <c r="BF340" i="6"/>
  <c r="BH340" i="6"/>
  <c r="AD340" i="6" s="1"/>
  <c r="BI340" i="6"/>
  <c r="AE340" i="6" s="1"/>
  <c r="BJ340" i="6"/>
  <c r="M342" i="6"/>
  <c r="Z342" i="6"/>
  <c r="AB342" i="6"/>
  <c r="AC342" i="6"/>
  <c r="AF342" i="6"/>
  <c r="AG342" i="6"/>
  <c r="AH342" i="6"/>
  <c r="AJ342" i="6"/>
  <c r="AK342" i="6"/>
  <c r="AL342" i="6"/>
  <c r="AO342" i="6"/>
  <c r="AW342" i="6" s="1"/>
  <c r="AP342" i="6"/>
  <c r="AX342" i="6"/>
  <c r="BD342" i="6"/>
  <c r="BF342" i="6"/>
  <c r="BH342" i="6"/>
  <c r="AD342" i="6" s="1"/>
  <c r="BI342" i="6"/>
  <c r="AE342" i="6" s="1"/>
  <c r="BJ342" i="6"/>
  <c r="M345" i="6"/>
  <c r="AL345" i="6" s="1"/>
  <c r="Z345" i="6"/>
  <c r="AB345" i="6"/>
  <c r="AC345" i="6"/>
  <c r="AE345" i="6"/>
  <c r="AF345" i="6"/>
  <c r="AG345" i="6"/>
  <c r="AH345" i="6"/>
  <c r="AJ345" i="6"/>
  <c r="AK345" i="6"/>
  <c r="AO345" i="6"/>
  <c r="AW345" i="6" s="1"/>
  <c r="AP345" i="6"/>
  <c r="AX345" i="6" s="1"/>
  <c r="BD345" i="6"/>
  <c r="BF345" i="6"/>
  <c r="BI345" i="6"/>
  <c r="BJ345" i="6"/>
  <c r="M347" i="6"/>
  <c r="Z347" i="6"/>
  <c r="AB347" i="6"/>
  <c r="AC347" i="6"/>
  <c r="AF347" i="6"/>
  <c r="AG347" i="6"/>
  <c r="AH347" i="6"/>
  <c r="AJ347" i="6"/>
  <c r="AK347" i="6"/>
  <c r="AL347" i="6"/>
  <c r="AO347" i="6"/>
  <c r="AP347" i="6"/>
  <c r="AX347" i="6" s="1"/>
  <c r="BC347" i="6" s="1"/>
  <c r="AW347" i="6"/>
  <c r="BD347" i="6"/>
  <c r="BF347" i="6"/>
  <c r="BH347" i="6"/>
  <c r="AD347" i="6" s="1"/>
  <c r="BJ347" i="6"/>
  <c r="M350" i="6"/>
  <c r="Z350" i="6"/>
  <c r="AB350" i="6"/>
  <c r="AC350" i="6"/>
  <c r="AF350" i="6"/>
  <c r="AG350" i="6"/>
  <c r="AH350" i="6"/>
  <c r="AJ350" i="6"/>
  <c r="AK350" i="6"/>
  <c r="AL350" i="6"/>
  <c r="AO350" i="6"/>
  <c r="AP350" i="6"/>
  <c r="AW350" i="6"/>
  <c r="BC350" i="6" s="1"/>
  <c r="AX350" i="6"/>
  <c r="BD350" i="6"/>
  <c r="BF350" i="6"/>
  <c r="BH350" i="6"/>
  <c r="AD350" i="6" s="1"/>
  <c r="BI350" i="6"/>
  <c r="AE350" i="6" s="1"/>
  <c r="BJ350" i="6"/>
  <c r="M352" i="6"/>
  <c r="AL352" i="6" s="1"/>
  <c r="Z352" i="6"/>
  <c r="AB352" i="6"/>
  <c r="AC352" i="6"/>
  <c r="AF352" i="6"/>
  <c r="AG352" i="6"/>
  <c r="AH352" i="6"/>
  <c r="AJ352" i="6"/>
  <c r="AK352" i="6"/>
  <c r="AO352" i="6"/>
  <c r="AP352" i="6"/>
  <c r="AW352" i="6"/>
  <c r="AX352" i="6"/>
  <c r="BD352" i="6"/>
  <c r="BF352" i="6"/>
  <c r="BH352" i="6"/>
  <c r="AD352" i="6" s="1"/>
  <c r="BI352" i="6"/>
  <c r="AE352" i="6" s="1"/>
  <c r="BJ352" i="6"/>
  <c r="M356" i="6"/>
  <c r="AL356" i="6" s="1"/>
  <c r="Z356" i="6"/>
  <c r="AB356" i="6"/>
  <c r="AC356" i="6"/>
  <c r="AD356" i="6"/>
  <c r="AE356" i="6"/>
  <c r="AF356" i="6"/>
  <c r="AG356" i="6"/>
  <c r="AH356" i="6"/>
  <c r="AJ356" i="6"/>
  <c r="AK356" i="6"/>
  <c r="AO356" i="6"/>
  <c r="AW356" i="6" s="1"/>
  <c r="AP356" i="6"/>
  <c r="AX356" i="6"/>
  <c r="BC356" i="6" s="1"/>
  <c r="BD356" i="6"/>
  <c r="BF356" i="6"/>
  <c r="BH356" i="6"/>
  <c r="BI356" i="6"/>
  <c r="BJ356" i="6"/>
  <c r="M358" i="6"/>
  <c r="Z358" i="6"/>
  <c r="AB358" i="6"/>
  <c r="AC358" i="6"/>
  <c r="AF358" i="6"/>
  <c r="AG358" i="6"/>
  <c r="AH358" i="6"/>
  <c r="AJ358" i="6"/>
  <c r="AK358" i="6"/>
  <c r="AL358" i="6"/>
  <c r="AO358" i="6"/>
  <c r="AP358" i="6"/>
  <c r="AX358" i="6" s="1"/>
  <c r="BC358" i="6" s="1"/>
  <c r="AW358" i="6"/>
  <c r="BD358" i="6"/>
  <c r="BF358" i="6"/>
  <c r="BH358" i="6"/>
  <c r="AD358" i="6" s="1"/>
  <c r="BJ358" i="6"/>
  <c r="M361" i="6"/>
  <c r="Z361" i="6"/>
  <c r="AB361" i="6"/>
  <c r="AC361" i="6"/>
  <c r="AF361" i="6"/>
  <c r="AG361" i="6"/>
  <c r="AH361" i="6"/>
  <c r="AJ361" i="6"/>
  <c r="AK361" i="6"/>
  <c r="AL361" i="6"/>
  <c r="AO361" i="6"/>
  <c r="AP361" i="6"/>
  <c r="AW361" i="6"/>
  <c r="BC361" i="6" s="1"/>
  <c r="AX361" i="6"/>
  <c r="BD361" i="6"/>
  <c r="BF361" i="6"/>
  <c r="BH361" i="6"/>
  <c r="AD361" i="6" s="1"/>
  <c r="BI361" i="6"/>
  <c r="AE361" i="6" s="1"/>
  <c r="BJ361" i="6"/>
  <c r="M364" i="6"/>
  <c r="AL364" i="6" s="1"/>
  <c r="Z364" i="6"/>
  <c r="AB364" i="6"/>
  <c r="AC364" i="6"/>
  <c r="AF364" i="6"/>
  <c r="AG364" i="6"/>
  <c r="AH364" i="6"/>
  <c r="AJ364" i="6"/>
  <c r="AK364" i="6"/>
  <c r="AO364" i="6"/>
  <c r="AP364" i="6"/>
  <c r="AW364" i="6"/>
  <c r="AX364" i="6"/>
  <c r="BD364" i="6"/>
  <c r="BF364" i="6"/>
  <c r="BH364" i="6"/>
  <c r="AD364" i="6" s="1"/>
  <c r="BI364" i="6"/>
  <c r="AE364" i="6" s="1"/>
  <c r="BJ364" i="6"/>
  <c r="M367" i="6"/>
  <c r="AL367" i="6" s="1"/>
  <c r="Z367" i="6"/>
  <c r="AB367" i="6"/>
  <c r="AC367" i="6"/>
  <c r="AF367" i="6"/>
  <c r="AG367" i="6"/>
  <c r="AH367" i="6"/>
  <c r="AJ367" i="6"/>
  <c r="AS357" i="6" s="1"/>
  <c r="AK367" i="6"/>
  <c r="AO367" i="6"/>
  <c r="AW367" i="6" s="1"/>
  <c r="AV367" i="6" s="1"/>
  <c r="AP367" i="6"/>
  <c r="AX367" i="6"/>
  <c r="BD367" i="6"/>
  <c r="BF367" i="6"/>
  <c r="BH367" i="6"/>
  <c r="AD367" i="6" s="1"/>
  <c r="BI367" i="6"/>
  <c r="AE367" i="6" s="1"/>
  <c r="BJ367" i="6"/>
  <c r="M370" i="6"/>
  <c r="Z370" i="6"/>
  <c r="AB370" i="6"/>
  <c r="AC370" i="6"/>
  <c r="AF370" i="6"/>
  <c r="AG370" i="6"/>
  <c r="AH370" i="6"/>
  <c r="AJ370" i="6"/>
  <c r="AK370" i="6"/>
  <c r="AT357" i="6" s="1"/>
  <c r="AL370" i="6"/>
  <c r="AO370" i="6"/>
  <c r="AW370" i="6" s="1"/>
  <c r="AV370" i="6" s="1"/>
  <c r="AP370" i="6"/>
  <c r="AX370" i="6" s="1"/>
  <c r="BD370" i="6"/>
  <c r="BF370" i="6"/>
  <c r="BH370" i="6"/>
  <c r="AD370" i="6" s="1"/>
  <c r="BI370" i="6"/>
  <c r="AE370" i="6" s="1"/>
  <c r="BJ370" i="6"/>
  <c r="M372" i="6"/>
  <c r="Z372" i="6"/>
  <c r="AB372" i="6"/>
  <c r="AC372" i="6"/>
  <c r="AF372" i="6"/>
  <c r="AG372" i="6"/>
  <c r="AH372" i="6"/>
  <c r="AJ372" i="6"/>
  <c r="AK372" i="6"/>
  <c r="AL372" i="6"/>
  <c r="AO372" i="6"/>
  <c r="AP372" i="6"/>
  <c r="AX372" i="6" s="1"/>
  <c r="AV372" i="6" s="1"/>
  <c r="AW372" i="6"/>
  <c r="BD372" i="6"/>
  <c r="BF372" i="6"/>
  <c r="BH372" i="6"/>
  <c r="AD372" i="6" s="1"/>
  <c r="BI372" i="6"/>
  <c r="AE372" i="6" s="1"/>
  <c r="BJ372" i="6"/>
  <c r="M374" i="6"/>
  <c r="Z374" i="6"/>
  <c r="AB374" i="6"/>
  <c r="AC374" i="6"/>
  <c r="AF374" i="6"/>
  <c r="AG374" i="6"/>
  <c r="AH374" i="6"/>
  <c r="AJ374" i="6"/>
  <c r="AK374" i="6"/>
  <c r="AL374" i="6"/>
  <c r="AO374" i="6"/>
  <c r="AW374" i="6" s="1"/>
  <c r="AP374" i="6"/>
  <c r="AX374" i="6"/>
  <c r="BD374" i="6"/>
  <c r="BF374" i="6"/>
  <c r="BI374" i="6"/>
  <c r="AE374" i="6" s="1"/>
  <c r="BJ374" i="6"/>
  <c r="M377" i="6"/>
  <c r="AL377" i="6" s="1"/>
  <c r="Z377" i="6"/>
  <c r="AB377" i="6"/>
  <c r="AC377" i="6"/>
  <c r="AD377" i="6"/>
  <c r="AE377" i="6"/>
  <c r="AF377" i="6"/>
  <c r="AG377" i="6"/>
  <c r="AH377" i="6"/>
  <c r="AJ377" i="6"/>
  <c r="AK377" i="6"/>
  <c r="AO377" i="6"/>
  <c r="AW377" i="6" s="1"/>
  <c r="AP377" i="6"/>
  <c r="AX377" i="6" s="1"/>
  <c r="BD377" i="6"/>
  <c r="BF377" i="6"/>
  <c r="BI377" i="6"/>
  <c r="BJ377" i="6"/>
  <c r="M379" i="6"/>
  <c r="Z379" i="6"/>
  <c r="AB379" i="6"/>
  <c r="AC379" i="6"/>
  <c r="AF379" i="6"/>
  <c r="AG379" i="6"/>
  <c r="AH379" i="6"/>
  <c r="AJ379" i="6"/>
  <c r="AS378" i="6" s="1"/>
  <c r="AK379" i="6"/>
  <c r="AL379" i="6"/>
  <c r="AO379" i="6"/>
  <c r="AW379" i="6" s="1"/>
  <c r="AV379" i="6" s="1"/>
  <c r="AP379" i="6"/>
  <c r="AX379" i="6" s="1"/>
  <c r="BC379" i="6"/>
  <c r="BD379" i="6"/>
  <c r="BF379" i="6"/>
  <c r="BH379" i="6"/>
  <c r="AD379" i="6" s="1"/>
  <c r="BI379" i="6"/>
  <c r="AE379" i="6" s="1"/>
  <c r="BJ379" i="6"/>
  <c r="M383" i="6"/>
  <c r="Z383" i="6"/>
  <c r="AB383" i="6"/>
  <c r="AC383" i="6"/>
  <c r="AF383" i="6"/>
  <c r="AG383" i="6"/>
  <c r="AH383" i="6"/>
  <c r="AJ383" i="6"/>
  <c r="AK383" i="6"/>
  <c r="AL383" i="6"/>
  <c r="AO383" i="6"/>
  <c r="AP383" i="6"/>
  <c r="AX383" i="6" s="1"/>
  <c r="AV383" i="6" s="1"/>
  <c r="AW383" i="6"/>
  <c r="BC383" i="6" s="1"/>
  <c r="BD383" i="6"/>
  <c r="BF383" i="6"/>
  <c r="BH383" i="6"/>
  <c r="AD383" i="6" s="1"/>
  <c r="BI383" i="6"/>
  <c r="AE383" i="6" s="1"/>
  <c r="BJ383" i="6"/>
  <c r="M390" i="6"/>
  <c r="AL390" i="6" s="1"/>
  <c r="Z390" i="6"/>
  <c r="AB390" i="6"/>
  <c r="AC390" i="6"/>
  <c r="AF390" i="6"/>
  <c r="AG390" i="6"/>
  <c r="AH390" i="6"/>
  <c r="AJ390" i="6"/>
  <c r="AK390" i="6"/>
  <c r="AO390" i="6"/>
  <c r="AW390" i="6" s="1"/>
  <c r="AP390" i="6"/>
  <c r="BI390" i="6" s="1"/>
  <c r="AE390" i="6" s="1"/>
  <c r="BD390" i="6"/>
  <c r="BF390" i="6"/>
  <c r="BJ390" i="6"/>
  <c r="M396" i="6"/>
  <c r="AL396" i="6" s="1"/>
  <c r="Z396" i="6"/>
  <c r="AB396" i="6"/>
  <c r="AC396" i="6"/>
  <c r="AF396" i="6"/>
  <c r="AG396" i="6"/>
  <c r="AH396" i="6"/>
  <c r="AJ396" i="6"/>
  <c r="AK396" i="6"/>
  <c r="AO396" i="6"/>
  <c r="AW396" i="6" s="1"/>
  <c r="AP396" i="6"/>
  <c r="AX396" i="6" s="1"/>
  <c r="BD396" i="6"/>
  <c r="BF396" i="6"/>
  <c r="BH396" i="6"/>
  <c r="AD396" i="6" s="1"/>
  <c r="BI396" i="6"/>
  <c r="AE396" i="6" s="1"/>
  <c r="BJ396" i="6"/>
  <c r="M402" i="6"/>
  <c r="AL402" i="6" s="1"/>
  <c r="Z402" i="6"/>
  <c r="AB402" i="6"/>
  <c r="AC402" i="6"/>
  <c r="AF402" i="6"/>
  <c r="AG402" i="6"/>
  <c r="AH402" i="6"/>
  <c r="AJ402" i="6"/>
  <c r="AK402" i="6"/>
  <c r="AO402" i="6"/>
  <c r="AP402" i="6"/>
  <c r="AX402" i="6" s="1"/>
  <c r="BC402" i="6" s="1"/>
  <c r="AW402" i="6"/>
  <c r="BD402" i="6"/>
  <c r="BF402" i="6"/>
  <c r="BH402" i="6"/>
  <c r="AD402" i="6" s="1"/>
  <c r="BJ402" i="6"/>
  <c r="M405" i="6"/>
  <c r="Z405" i="6"/>
  <c r="AB405" i="6"/>
  <c r="AC405" i="6"/>
  <c r="AF405" i="6"/>
  <c r="AG405" i="6"/>
  <c r="AH405" i="6"/>
  <c r="AJ405" i="6"/>
  <c r="AK405" i="6"/>
  <c r="AL405" i="6"/>
  <c r="AO405" i="6"/>
  <c r="AP405" i="6"/>
  <c r="AW405" i="6"/>
  <c r="BC405" i="6" s="1"/>
  <c r="AX405" i="6"/>
  <c r="BD405" i="6"/>
  <c r="BF405" i="6"/>
  <c r="BH405" i="6"/>
  <c r="AD405" i="6" s="1"/>
  <c r="BI405" i="6"/>
  <c r="AE405" i="6" s="1"/>
  <c r="BJ405" i="6"/>
  <c r="M408" i="6"/>
  <c r="M409" i="6"/>
  <c r="Z409" i="6"/>
  <c r="AB409" i="6"/>
  <c r="AC409" i="6"/>
  <c r="AF409" i="6"/>
  <c r="AG409" i="6"/>
  <c r="AH409" i="6"/>
  <c r="AJ409" i="6"/>
  <c r="AS408" i="6" s="1"/>
  <c r="AK409" i="6"/>
  <c r="AL409" i="6"/>
  <c r="AO409" i="6"/>
  <c r="AW409" i="6" s="1"/>
  <c r="AP409" i="6"/>
  <c r="AX409" i="6"/>
  <c r="BD409" i="6"/>
  <c r="BF409" i="6"/>
  <c r="BH409" i="6"/>
  <c r="AD409" i="6" s="1"/>
  <c r="BI409" i="6"/>
  <c r="AE409" i="6" s="1"/>
  <c r="BJ409" i="6"/>
  <c r="M412" i="6"/>
  <c r="AL412" i="6" s="1"/>
  <c r="Z412" i="6"/>
  <c r="AB412" i="6"/>
  <c r="AC412" i="6"/>
  <c r="AE412" i="6"/>
  <c r="AF412" i="6"/>
  <c r="AG412" i="6"/>
  <c r="AH412" i="6"/>
  <c r="AJ412" i="6"/>
  <c r="AK412" i="6"/>
  <c r="AT408" i="6" s="1"/>
  <c r="AO412" i="6"/>
  <c r="AW412" i="6" s="1"/>
  <c r="AP412" i="6"/>
  <c r="AX412" i="6" s="1"/>
  <c r="BD412" i="6"/>
  <c r="BF412" i="6"/>
  <c r="BI412" i="6"/>
  <c r="BJ412" i="6"/>
  <c r="M419" i="6"/>
  <c r="Z419" i="6"/>
  <c r="AB419" i="6"/>
  <c r="AD419" i="6"/>
  <c r="AE419" i="6"/>
  <c r="AF419" i="6"/>
  <c r="AG419" i="6"/>
  <c r="AH419" i="6"/>
  <c r="AJ419" i="6"/>
  <c r="AS418" i="6" s="1"/>
  <c r="AK419" i="6"/>
  <c r="AT418" i="6" s="1"/>
  <c r="AL419" i="6"/>
  <c r="AO419" i="6"/>
  <c r="AW419" i="6" s="1"/>
  <c r="AV419" i="6" s="1"/>
  <c r="AP419" i="6"/>
  <c r="AX419" i="6" s="1"/>
  <c r="BD419" i="6"/>
  <c r="BF419" i="6"/>
  <c r="BH419" i="6"/>
  <c r="BI419" i="6"/>
  <c r="AC419" i="6" s="1"/>
  <c r="BJ419" i="6"/>
  <c r="M421" i="6"/>
  <c r="Z421" i="6"/>
  <c r="AB421" i="6"/>
  <c r="AC421" i="6"/>
  <c r="AD421" i="6"/>
  <c r="AE421" i="6"/>
  <c r="AF421" i="6"/>
  <c r="AG421" i="6"/>
  <c r="AH421" i="6"/>
  <c r="AJ421" i="6"/>
  <c r="AK421" i="6"/>
  <c r="AL421" i="6"/>
  <c r="AO421" i="6"/>
  <c r="AP421" i="6"/>
  <c r="AX421" i="6" s="1"/>
  <c r="AV421" i="6" s="1"/>
  <c r="AW421" i="6"/>
  <c r="BC421" i="6" s="1"/>
  <c r="BD421" i="6"/>
  <c r="BF421" i="6"/>
  <c r="BH421" i="6"/>
  <c r="BI421" i="6"/>
  <c r="BJ421" i="6"/>
  <c r="M423" i="6"/>
  <c r="Z423" i="6"/>
  <c r="AC423" i="6"/>
  <c r="AD423" i="6"/>
  <c r="AE423" i="6"/>
  <c r="AF423" i="6"/>
  <c r="AG423" i="6"/>
  <c r="AH423" i="6"/>
  <c r="AJ423" i="6"/>
  <c r="AK423" i="6"/>
  <c r="AL423" i="6"/>
  <c r="AO423" i="6"/>
  <c r="AW423" i="6" s="1"/>
  <c r="AP423" i="6"/>
  <c r="AX423" i="6"/>
  <c r="BD423" i="6"/>
  <c r="BF423" i="6"/>
  <c r="BI423" i="6"/>
  <c r="BJ423" i="6"/>
  <c r="M426" i="6"/>
  <c r="M418" i="6" s="1"/>
  <c r="Z426" i="6"/>
  <c r="AD426" i="6"/>
  <c r="AE426" i="6"/>
  <c r="AF426" i="6"/>
  <c r="AG426" i="6"/>
  <c r="AH426" i="6"/>
  <c r="AJ426" i="6"/>
  <c r="AK426" i="6"/>
  <c r="AO426" i="6"/>
  <c r="AW426" i="6" s="1"/>
  <c r="AP426" i="6"/>
  <c r="AX426" i="6" s="1"/>
  <c r="BD426" i="6"/>
  <c r="BF426" i="6"/>
  <c r="BI426" i="6"/>
  <c r="AC426" i="6" s="1"/>
  <c r="BJ426" i="6"/>
  <c r="M429" i="6"/>
  <c r="AL429" i="6" s="1"/>
  <c r="Z429" i="6"/>
  <c r="AB429" i="6"/>
  <c r="AD429" i="6"/>
  <c r="AE429" i="6"/>
  <c r="AF429" i="6"/>
  <c r="AG429" i="6"/>
  <c r="AH429" i="6"/>
  <c r="AJ429" i="6"/>
  <c r="AK429" i="6"/>
  <c r="AO429" i="6"/>
  <c r="AP429" i="6"/>
  <c r="AX429" i="6" s="1"/>
  <c r="BC429" i="6" s="1"/>
  <c r="AV429" i="6"/>
  <c r="AW429" i="6"/>
  <c r="BD429" i="6"/>
  <c r="BF429" i="6"/>
  <c r="BH429" i="6"/>
  <c r="BI429" i="6"/>
  <c r="AC429" i="6" s="1"/>
  <c r="BJ429" i="6"/>
  <c r="M433" i="6"/>
  <c r="Z433" i="6"/>
  <c r="AB433" i="6"/>
  <c r="AC433" i="6"/>
  <c r="AD433" i="6"/>
  <c r="AE433" i="6"/>
  <c r="AF433" i="6"/>
  <c r="AG433" i="6"/>
  <c r="AH433" i="6"/>
  <c r="AJ433" i="6"/>
  <c r="AK433" i="6"/>
  <c r="AL433" i="6"/>
  <c r="AO433" i="6"/>
  <c r="AP433" i="6"/>
  <c r="AX433" i="6" s="1"/>
  <c r="AV433" i="6" s="1"/>
  <c r="AW433" i="6"/>
  <c r="BC433" i="6" s="1"/>
  <c r="BD433" i="6"/>
  <c r="BF433" i="6"/>
  <c r="BH433" i="6"/>
  <c r="BI433" i="6"/>
  <c r="BJ433" i="6"/>
  <c r="M435" i="6"/>
  <c r="Z435" i="6"/>
  <c r="AC435" i="6"/>
  <c r="AD435" i="6"/>
  <c r="AE435" i="6"/>
  <c r="AF435" i="6"/>
  <c r="AG435" i="6"/>
  <c r="AH435" i="6"/>
  <c r="AJ435" i="6"/>
  <c r="AK435" i="6"/>
  <c r="AL435" i="6"/>
  <c r="AO435" i="6"/>
  <c r="AW435" i="6" s="1"/>
  <c r="AP435" i="6"/>
  <c r="AX435" i="6"/>
  <c r="BD435" i="6"/>
  <c r="BF435" i="6"/>
  <c r="BH435" i="6"/>
  <c r="AB435" i="6" s="1"/>
  <c r="BI435" i="6"/>
  <c r="BJ435" i="6"/>
  <c r="M437" i="6"/>
  <c r="AL437" i="6" s="1"/>
  <c r="Z437" i="6"/>
  <c r="AD437" i="6"/>
  <c r="AE437" i="6"/>
  <c r="AF437" i="6"/>
  <c r="AG437" i="6"/>
  <c r="AH437" i="6"/>
  <c r="AJ437" i="6"/>
  <c r="AK437" i="6"/>
  <c r="AO437" i="6"/>
  <c r="AW437" i="6" s="1"/>
  <c r="AP437" i="6"/>
  <c r="AX437" i="6" s="1"/>
  <c r="BD437" i="6"/>
  <c r="BF437" i="6"/>
  <c r="BH437" i="6"/>
  <c r="AB437" i="6" s="1"/>
  <c r="BJ437" i="6"/>
  <c r="M439" i="6"/>
  <c r="AL439" i="6" s="1"/>
  <c r="Z439" i="6"/>
  <c r="AB439" i="6"/>
  <c r="AD439" i="6"/>
  <c r="AE439" i="6"/>
  <c r="AF439" i="6"/>
  <c r="AG439" i="6"/>
  <c r="AH439" i="6"/>
  <c r="AJ439" i="6"/>
  <c r="AK439" i="6"/>
  <c r="AO439" i="6"/>
  <c r="AP439" i="6"/>
  <c r="AX439" i="6" s="1"/>
  <c r="BC439" i="6" s="1"/>
  <c r="AV439" i="6"/>
  <c r="AW439" i="6"/>
  <c r="BD439" i="6"/>
  <c r="BF439" i="6"/>
  <c r="BH439" i="6"/>
  <c r="BI439" i="6"/>
  <c r="AC439" i="6" s="1"/>
  <c r="BJ439" i="6"/>
  <c r="M441" i="6"/>
  <c r="Z441" i="6"/>
  <c r="AB441" i="6"/>
  <c r="AC441" i="6"/>
  <c r="AD441" i="6"/>
  <c r="AE441" i="6"/>
  <c r="AF441" i="6"/>
  <c r="AG441" i="6"/>
  <c r="AH441" i="6"/>
  <c r="AJ441" i="6"/>
  <c r="AK441" i="6"/>
  <c r="AL441" i="6"/>
  <c r="AO441" i="6"/>
  <c r="AP441" i="6"/>
  <c r="AW441" i="6"/>
  <c r="BC441" i="6" s="1"/>
  <c r="AX441" i="6"/>
  <c r="BD441" i="6"/>
  <c r="BF441" i="6"/>
  <c r="BH441" i="6"/>
  <c r="BI441" i="6"/>
  <c r="BJ441" i="6"/>
  <c r="M443" i="6"/>
  <c r="AL443" i="6" s="1"/>
  <c r="Z443" i="6"/>
  <c r="AB443" i="6"/>
  <c r="AC443" i="6"/>
  <c r="AD443" i="6"/>
  <c r="AE443" i="6"/>
  <c r="AF443" i="6"/>
  <c r="AG443" i="6"/>
  <c r="AH443" i="6"/>
  <c r="AJ443" i="6"/>
  <c r="AK443" i="6"/>
  <c r="AO443" i="6"/>
  <c r="AP443" i="6"/>
  <c r="AW443" i="6"/>
  <c r="AX443" i="6"/>
  <c r="BD443" i="6"/>
  <c r="BF443" i="6"/>
  <c r="BH443" i="6"/>
  <c r="BI443" i="6"/>
  <c r="BJ443" i="6"/>
  <c r="M445" i="6"/>
  <c r="AL445" i="6" s="1"/>
  <c r="Z445" i="6"/>
  <c r="AC445" i="6"/>
  <c r="AD445" i="6"/>
  <c r="AE445" i="6"/>
  <c r="AF445" i="6"/>
  <c r="AG445" i="6"/>
  <c r="AH445" i="6"/>
  <c r="AJ445" i="6"/>
  <c r="AK445" i="6"/>
  <c r="AO445" i="6"/>
  <c r="AW445" i="6" s="1"/>
  <c r="AV445" i="6" s="1"/>
  <c r="AP445" i="6"/>
  <c r="AX445" i="6"/>
  <c r="BC445" i="6"/>
  <c r="BD445" i="6"/>
  <c r="BF445" i="6"/>
  <c r="BH445" i="6"/>
  <c r="AB445" i="6" s="1"/>
  <c r="BI445" i="6"/>
  <c r="BJ445" i="6"/>
  <c r="M450" i="6"/>
  <c r="Z450" i="6"/>
  <c r="AB450" i="6"/>
  <c r="AD450" i="6"/>
  <c r="AE450" i="6"/>
  <c r="AF450" i="6"/>
  <c r="AG450" i="6"/>
  <c r="AH450" i="6"/>
  <c r="AJ450" i="6"/>
  <c r="AK450" i="6"/>
  <c r="AL450" i="6"/>
  <c r="AO450" i="6"/>
  <c r="AW450" i="6" s="1"/>
  <c r="AP450" i="6"/>
  <c r="AX450" i="6" s="1"/>
  <c r="BC450" i="6"/>
  <c r="BD450" i="6"/>
  <c r="BF450" i="6"/>
  <c r="BH450" i="6"/>
  <c r="BI450" i="6"/>
  <c r="AC450" i="6" s="1"/>
  <c r="BJ450" i="6"/>
  <c r="M452" i="6"/>
  <c r="Z452" i="6"/>
  <c r="AB452" i="6"/>
  <c r="AC452" i="6"/>
  <c r="AD452" i="6"/>
  <c r="AE452" i="6"/>
  <c r="AF452" i="6"/>
  <c r="AG452" i="6"/>
  <c r="AH452" i="6"/>
  <c r="AJ452" i="6"/>
  <c r="AK452" i="6"/>
  <c r="AL452" i="6"/>
  <c r="AO452" i="6"/>
  <c r="AP452" i="6"/>
  <c r="AX452" i="6" s="1"/>
  <c r="AV452" i="6" s="1"/>
  <c r="AW452" i="6"/>
  <c r="BD452" i="6"/>
  <c r="BF452" i="6"/>
  <c r="BH452" i="6"/>
  <c r="BI452" i="6"/>
  <c r="BJ452" i="6"/>
  <c r="M454" i="6"/>
  <c r="Z454" i="6"/>
  <c r="AC454" i="6"/>
  <c r="AD454" i="6"/>
  <c r="AE454" i="6"/>
  <c r="AF454" i="6"/>
  <c r="AG454" i="6"/>
  <c r="AH454" i="6"/>
  <c r="AJ454" i="6"/>
  <c r="AK454" i="6"/>
  <c r="AL454" i="6"/>
  <c r="AO454" i="6"/>
  <c r="AW454" i="6" s="1"/>
  <c r="AP454" i="6"/>
  <c r="AX454" i="6"/>
  <c r="BD454" i="6"/>
  <c r="BF454" i="6"/>
  <c r="BI454" i="6"/>
  <c r="BJ454" i="6"/>
  <c r="M456" i="6"/>
  <c r="AL456" i="6" s="1"/>
  <c r="Z456" i="6"/>
  <c r="AD456" i="6"/>
  <c r="AE456" i="6"/>
  <c r="AF456" i="6"/>
  <c r="AG456" i="6"/>
  <c r="AH456" i="6"/>
  <c r="AJ456" i="6"/>
  <c r="AK456" i="6"/>
  <c r="AO456" i="6"/>
  <c r="AW456" i="6" s="1"/>
  <c r="AP456" i="6"/>
  <c r="AX456" i="6" s="1"/>
  <c r="BD456" i="6"/>
  <c r="BF456" i="6"/>
  <c r="BH456" i="6"/>
  <c r="AB456" i="6" s="1"/>
  <c r="BJ456" i="6"/>
  <c r="M458" i="6"/>
  <c r="AL458" i="6" s="1"/>
  <c r="Z458" i="6"/>
  <c r="AB458" i="6"/>
  <c r="AD458" i="6"/>
  <c r="AE458" i="6"/>
  <c r="AF458" i="6"/>
  <c r="AG458" i="6"/>
  <c r="AH458" i="6"/>
  <c r="AJ458" i="6"/>
  <c r="AK458" i="6"/>
  <c r="AO458" i="6"/>
  <c r="AP458" i="6"/>
  <c r="AX458" i="6" s="1"/>
  <c r="AW458" i="6"/>
  <c r="BD458" i="6"/>
  <c r="BF458" i="6"/>
  <c r="BH458" i="6"/>
  <c r="BI458" i="6"/>
  <c r="AC458" i="6" s="1"/>
  <c r="BJ458" i="6"/>
  <c r="M461" i="6"/>
  <c r="Z461" i="6"/>
  <c r="AB461" i="6"/>
  <c r="AD461" i="6"/>
  <c r="AE461" i="6"/>
  <c r="AF461" i="6"/>
  <c r="AG461" i="6"/>
  <c r="AH461" i="6"/>
  <c r="AJ461" i="6"/>
  <c r="AK461" i="6"/>
  <c r="AL461" i="6"/>
  <c r="AO461" i="6"/>
  <c r="AP461" i="6"/>
  <c r="AX461" i="6" s="1"/>
  <c r="AV461" i="6"/>
  <c r="AW461" i="6"/>
  <c r="BC461" i="6" s="1"/>
  <c r="BD461" i="6"/>
  <c r="BF461" i="6"/>
  <c r="BH461" i="6"/>
  <c r="BI461" i="6"/>
  <c r="AC461" i="6" s="1"/>
  <c r="BJ461" i="6"/>
  <c r="M463" i="6"/>
  <c r="Z463" i="6"/>
  <c r="AC463" i="6"/>
  <c r="AD463" i="6"/>
  <c r="AE463" i="6"/>
  <c r="AF463" i="6"/>
  <c r="AG463" i="6"/>
  <c r="AH463" i="6"/>
  <c r="AJ463" i="6"/>
  <c r="AK463" i="6"/>
  <c r="AL463" i="6"/>
  <c r="AO463" i="6"/>
  <c r="AP463" i="6"/>
  <c r="AW463" i="6"/>
  <c r="BC463" i="6" s="1"/>
  <c r="AX463" i="6"/>
  <c r="BD463" i="6"/>
  <c r="BF463" i="6"/>
  <c r="BH463" i="6"/>
  <c r="AB463" i="6" s="1"/>
  <c r="BI463" i="6"/>
  <c r="BJ463" i="6"/>
  <c r="M467" i="6"/>
  <c r="AL467" i="6" s="1"/>
  <c r="Z467" i="6"/>
  <c r="AD467" i="6"/>
  <c r="AE467" i="6"/>
  <c r="AF467" i="6"/>
  <c r="AG467" i="6"/>
  <c r="AH467" i="6"/>
  <c r="AJ467" i="6"/>
  <c r="AK467" i="6"/>
  <c r="AO467" i="6"/>
  <c r="AW467" i="6" s="1"/>
  <c r="AP467" i="6"/>
  <c r="AX467" i="6" s="1"/>
  <c r="BD467" i="6"/>
  <c r="BF467" i="6"/>
  <c r="BJ467" i="6"/>
  <c r="M469" i="6"/>
  <c r="AL469" i="6" s="1"/>
  <c r="Z469" i="6"/>
  <c r="AB469" i="6"/>
  <c r="AD469" i="6"/>
  <c r="AE469" i="6"/>
  <c r="AF469" i="6"/>
  <c r="AG469" i="6"/>
  <c r="AH469" i="6"/>
  <c r="AJ469" i="6"/>
  <c r="AS460" i="6" s="1"/>
  <c r="AK469" i="6"/>
  <c r="AO469" i="6"/>
  <c r="AP469" i="6"/>
  <c r="AX469" i="6" s="1"/>
  <c r="AW469" i="6"/>
  <c r="BD469" i="6"/>
  <c r="BF469" i="6"/>
  <c r="BH469" i="6"/>
  <c r="BI469" i="6"/>
  <c r="AC469" i="6" s="1"/>
  <c r="BJ469" i="6"/>
  <c r="M471" i="6"/>
  <c r="Z471" i="6"/>
  <c r="AB471" i="6"/>
  <c r="AC471" i="6"/>
  <c r="AD471" i="6"/>
  <c r="AE471" i="6"/>
  <c r="AF471" i="6"/>
  <c r="AG471" i="6"/>
  <c r="AH471" i="6"/>
  <c r="AJ471" i="6"/>
  <c r="AK471" i="6"/>
  <c r="AT460" i="6" s="1"/>
  <c r="AL471" i="6"/>
  <c r="AO471" i="6"/>
  <c r="AP471" i="6"/>
  <c r="AV471" i="6"/>
  <c r="AW471" i="6"/>
  <c r="BC471" i="6" s="1"/>
  <c r="AX471" i="6"/>
  <c r="BD471" i="6"/>
  <c r="BF471" i="6"/>
  <c r="BH471" i="6"/>
  <c r="BI471" i="6"/>
  <c r="BJ471" i="6"/>
  <c r="M474" i="6"/>
  <c r="Z474" i="6"/>
  <c r="AB474" i="6"/>
  <c r="AD474" i="6"/>
  <c r="AE474" i="6"/>
  <c r="AF474" i="6"/>
  <c r="AG474" i="6"/>
  <c r="AH474" i="6"/>
  <c r="AJ474" i="6"/>
  <c r="AK474" i="6"/>
  <c r="AL474" i="6"/>
  <c r="AO474" i="6"/>
  <c r="AP474" i="6"/>
  <c r="AW474" i="6"/>
  <c r="AX474" i="6"/>
  <c r="BD474" i="6"/>
  <c r="BF474" i="6"/>
  <c r="BH474" i="6"/>
  <c r="BI474" i="6"/>
  <c r="AC474" i="6" s="1"/>
  <c r="BJ474" i="6"/>
  <c r="M476" i="6"/>
  <c r="Z476" i="6"/>
  <c r="AC476" i="6"/>
  <c r="AD476" i="6"/>
  <c r="AE476" i="6"/>
  <c r="AF476" i="6"/>
  <c r="AG476" i="6"/>
  <c r="AH476" i="6"/>
  <c r="AJ476" i="6"/>
  <c r="AK476" i="6"/>
  <c r="AL476" i="6"/>
  <c r="AO476" i="6"/>
  <c r="AW476" i="6" s="1"/>
  <c r="AV476" i="6" s="1"/>
  <c r="AP476" i="6"/>
  <c r="AX476" i="6"/>
  <c r="BC476" i="6"/>
  <c r="BD476" i="6"/>
  <c r="BF476" i="6"/>
  <c r="BH476" i="6"/>
  <c r="AB476" i="6" s="1"/>
  <c r="BI476" i="6"/>
  <c r="BJ476" i="6"/>
  <c r="M478" i="6"/>
  <c r="Z478" i="6"/>
  <c r="AB478" i="6"/>
  <c r="AD478" i="6"/>
  <c r="AE478" i="6"/>
  <c r="AF478" i="6"/>
  <c r="AG478" i="6"/>
  <c r="AH478" i="6"/>
  <c r="AJ478" i="6"/>
  <c r="AK478" i="6"/>
  <c r="AL478" i="6"/>
  <c r="AO478" i="6"/>
  <c r="AP478" i="6"/>
  <c r="AX478" i="6" s="1"/>
  <c r="AW478" i="6"/>
  <c r="BC478" i="6" s="1"/>
  <c r="BD478" i="6"/>
  <c r="BF478" i="6"/>
  <c r="BH478" i="6"/>
  <c r="BI478" i="6"/>
  <c r="AC478" i="6" s="1"/>
  <c r="BJ478" i="6"/>
  <c r="M480" i="6"/>
  <c r="Z480" i="6"/>
  <c r="AB480" i="6"/>
  <c r="AD480" i="6"/>
  <c r="AE480" i="6"/>
  <c r="AF480" i="6"/>
  <c r="AG480" i="6"/>
  <c r="AH480" i="6"/>
  <c r="AJ480" i="6"/>
  <c r="AK480" i="6"/>
  <c r="AL480" i="6"/>
  <c r="AO480" i="6"/>
  <c r="AP480" i="6"/>
  <c r="AX480" i="6" s="1"/>
  <c r="AV480" i="6" s="1"/>
  <c r="AW480" i="6"/>
  <c r="BD480" i="6"/>
  <c r="BF480" i="6"/>
  <c r="BH480" i="6"/>
  <c r="BJ480" i="6"/>
  <c r="M482" i="6"/>
  <c r="Z482" i="6"/>
  <c r="AC482" i="6"/>
  <c r="AD482" i="6"/>
  <c r="AE482" i="6"/>
  <c r="AF482" i="6"/>
  <c r="AG482" i="6"/>
  <c r="AH482" i="6"/>
  <c r="AJ482" i="6"/>
  <c r="AK482" i="6"/>
  <c r="AL482" i="6"/>
  <c r="AO482" i="6"/>
  <c r="AW482" i="6" s="1"/>
  <c r="AP482" i="6"/>
  <c r="AX482" i="6"/>
  <c r="BD482" i="6"/>
  <c r="BF482" i="6"/>
  <c r="BH482" i="6"/>
  <c r="AB482" i="6" s="1"/>
  <c r="BI482" i="6"/>
  <c r="BJ482" i="6"/>
  <c r="AT484" i="6"/>
  <c r="M485" i="6"/>
  <c r="AL485" i="6" s="1"/>
  <c r="AU484" i="6" s="1"/>
  <c r="AB485" i="6"/>
  <c r="AC485" i="6"/>
  <c r="AD485" i="6"/>
  <c r="AE485" i="6"/>
  <c r="AF485" i="6"/>
  <c r="AG485" i="6"/>
  <c r="AH485" i="6"/>
  <c r="AJ485" i="6"/>
  <c r="AS484" i="6" s="1"/>
  <c r="AK485" i="6"/>
  <c r="AO485" i="6"/>
  <c r="AW485" i="6" s="1"/>
  <c r="AV485" i="6" s="1"/>
  <c r="AP485" i="6"/>
  <c r="AX485" i="6"/>
  <c r="BC485" i="6"/>
  <c r="BD485" i="6"/>
  <c r="BF485" i="6"/>
  <c r="BH485" i="6"/>
  <c r="BI485" i="6"/>
  <c r="BJ485" i="6"/>
  <c r="Z485" i="6" s="1"/>
  <c r="M487" i="6"/>
  <c r="M486" i="6" s="1"/>
  <c r="Z487" i="6"/>
  <c r="AB487" i="6"/>
  <c r="AC487" i="6"/>
  <c r="AD487" i="6"/>
  <c r="AE487" i="6"/>
  <c r="AF487" i="6"/>
  <c r="AG487" i="6"/>
  <c r="AH487" i="6"/>
  <c r="AJ487" i="6"/>
  <c r="AK487" i="6"/>
  <c r="AO487" i="6"/>
  <c r="AP487" i="6"/>
  <c r="AW487" i="6"/>
  <c r="AX487" i="6"/>
  <c r="BC487" i="6" s="1"/>
  <c r="BD487" i="6"/>
  <c r="BF487" i="6"/>
  <c r="BH487" i="6"/>
  <c r="BI487" i="6"/>
  <c r="BJ487" i="6"/>
  <c r="M489" i="6"/>
  <c r="Z489" i="6"/>
  <c r="AB489" i="6"/>
  <c r="AC489" i="6"/>
  <c r="AD489" i="6"/>
  <c r="AE489" i="6"/>
  <c r="AF489" i="6"/>
  <c r="AG489" i="6"/>
  <c r="AH489" i="6"/>
  <c r="AJ489" i="6"/>
  <c r="AK489" i="6"/>
  <c r="AL489" i="6"/>
  <c r="AO489" i="6"/>
  <c r="AW489" i="6" s="1"/>
  <c r="AP489" i="6"/>
  <c r="AX489" i="6"/>
  <c r="BD489" i="6"/>
  <c r="BF489" i="6"/>
  <c r="BH489" i="6"/>
  <c r="BI489" i="6"/>
  <c r="BJ489" i="6"/>
  <c r="M491" i="6"/>
  <c r="Z491" i="6"/>
  <c r="AB491" i="6"/>
  <c r="AC491" i="6"/>
  <c r="AD491" i="6"/>
  <c r="AE491" i="6"/>
  <c r="AF491" i="6"/>
  <c r="AG491" i="6"/>
  <c r="AH491" i="6"/>
  <c r="AJ491" i="6"/>
  <c r="AK491" i="6"/>
  <c r="AL491" i="6"/>
  <c r="AO491" i="6"/>
  <c r="AP491" i="6"/>
  <c r="BI491" i="6" s="1"/>
  <c r="AW491" i="6"/>
  <c r="BD491" i="6"/>
  <c r="BF491" i="6"/>
  <c r="BH491" i="6"/>
  <c r="BJ491" i="6"/>
  <c r="M493" i="6"/>
  <c r="AL493" i="6" s="1"/>
  <c r="AB493" i="6"/>
  <c r="AC493" i="6"/>
  <c r="AD493" i="6"/>
  <c r="AE493" i="6"/>
  <c r="AF493" i="6"/>
  <c r="AG493" i="6"/>
  <c r="AH493" i="6"/>
  <c r="AJ493" i="6"/>
  <c r="AK493" i="6"/>
  <c r="AO493" i="6"/>
  <c r="AW493" i="6" s="1"/>
  <c r="AP493" i="6"/>
  <c r="AX493" i="6"/>
  <c r="BD493" i="6"/>
  <c r="BF493" i="6"/>
  <c r="BI493" i="6"/>
  <c r="BJ493" i="6"/>
  <c r="Z493" i="6" s="1"/>
  <c r="M495" i="6"/>
  <c r="Z495" i="6"/>
  <c r="AB495" i="6"/>
  <c r="AC495" i="6"/>
  <c r="AD495" i="6"/>
  <c r="AE495" i="6"/>
  <c r="AF495" i="6"/>
  <c r="AG495" i="6"/>
  <c r="AH495" i="6"/>
  <c r="AJ495" i="6"/>
  <c r="AK495" i="6"/>
  <c r="AL495" i="6"/>
  <c r="AO495" i="6"/>
  <c r="AP495" i="6"/>
  <c r="AX495" i="6" s="1"/>
  <c r="AW495" i="6"/>
  <c r="AV495" i="6" s="1"/>
  <c r="BC495" i="6"/>
  <c r="BD495" i="6"/>
  <c r="BF495" i="6"/>
  <c r="BH495" i="6"/>
  <c r="BI495" i="6"/>
  <c r="BJ495" i="6"/>
  <c r="M497" i="6"/>
  <c r="AB497" i="6"/>
  <c r="AC497" i="6"/>
  <c r="AD497" i="6"/>
  <c r="AE497" i="6"/>
  <c r="AF497" i="6"/>
  <c r="AG497" i="6"/>
  <c r="AH497" i="6"/>
  <c r="AJ497" i="6"/>
  <c r="AK497" i="6"/>
  <c r="AL497" i="6"/>
  <c r="AO497" i="6"/>
  <c r="AP497" i="6"/>
  <c r="BI497" i="6" s="1"/>
  <c r="AW497" i="6"/>
  <c r="AV497" i="6" s="1"/>
  <c r="AX497" i="6"/>
  <c r="BD497" i="6"/>
  <c r="BF497" i="6"/>
  <c r="BH497" i="6"/>
  <c r="BJ497" i="6"/>
  <c r="Z497" i="6" s="1"/>
  <c r="M500" i="6"/>
  <c r="M499" i="6" s="1"/>
  <c r="AU500" i="6"/>
  <c r="M501" i="6"/>
  <c r="Z501" i="6"/>
  <c r="AB501" i="6"/>
  <c r="AC501" i="6"/>
  <c r="AD501" i="6"/>
  <c r="AE501" i="6"/>
  <c r="AG501" i="6"/>
  <c r="AH501" i="6"/>
  <c r="AJ501" i="6"/>
  <c r="AS500" i="6" s="1"/>
  <c r="AK501" i="6"/>
  <c r="AT500" i="6" s="1"/>
  <c r="AL501" i="6"/>
  <c r="AO501" i="6"/>
  <c r="AP501" i="6"/>
  <c r="AW501" i="6"/>
  <c r="AV501" i="6" s="1"/>
  <c r="AX501" i="6"/>
  <c r="BC501" i="6"/>
  <c r="BD501" i="6"/>
  <c r="BF501" i="6"/>
  <c r="BH501" i="6"/>
  <c r="AF501" i="6" s="1"/>
  <c r="BI501" i="6"/>
  <c r="BJ501" i="6"/>
  <c r="AS505" i="6"/>
  <c r="AT505" i="6"/>
  <c r="M506" i="6"/>
  <c r="M505" i="6" s="1"/>
  <c r="M504" i="6" s="1"/>
  <c r="Z506" i="6"/>
  <c r="AB506" i="6"/>
  <c r="AC506" i="6"/>
  <c r="AF506" i="6"/>
  <c r="AG506" i="6"/>
  <c r="AH506" i="6"/>
  <c r="AJ506" i="6"/>
  <c r="AK506" i="6"/>
  <c r="AO506" i="6"/>
  <c r="AP506" i="6"/>
  <c r="AW506" i="6"/>
  <c r="AX506" i="6"/>
  <c r="AV506" i="6" s="1"/>
  <c r="BD506" i="6"/>
  <c r="BF506" i="6"/>
  <c r="BH506" i="6"/>
  <c r="AD506" i="6" s="1"/>
  <c r="BI506" i="6"/>
  <c r="AE506" i="6" s="1"/>
  <c r="BJ506" i="6"/>
  <c r="M510" i="6"/>
  <c r="M509" i="6" s="1"/>
  <c r="AU510" i="6"/>
  <c r="M511" i="6"/>
  <c r="Z511" i="6"/>
  <c r="AB511" i="6"/>
  <c r="AC511" i="6"/>
  <c r="AD511" i="6"/>
  <c r="AE511" i="6"/>
  <c r="AG511" i="6"/>
  <c r="AH511" i="6"/>
  <c r="AJ511" i="6"/>
  <c r="AS510" i="6" s="1"/>
  <c r="AK511" i="6"/>
  <c r="AT510" i="6" s="1"/>
  <c r="AL511" i="6"/>
  <c r="AO511" i="6"/>
  <c r="AP511" i="6"/>
  <c r="AW511" i="6"/>
  <c r="BC511" i="6" s="1"/>
  <c r="AX511" i="6"/>
  <c r="BD511" i="6"/>
  <c r="BF511" i="6"/>
  <c r="BH511" i="6"/>
  <c r="AF511" i="6" s="1"/>
  <c r="BI511" i="6"/>
  <c r="BJ511" i="6"/>
  <c r="M514" i="6"/>
  <c r="AS515" i="6"/>
  <c r="M516" i="6"/>
  <c r="M515" i="6" s="1"/>
  <c r="Z516" i="6"/>
  <c r="AB516" i="6"/>
  <c r="AC516" i="6"/>
  <c r="AD516" i="6"/>
  <c r="AE516" i="6"/>
  <c r="AF516" i="6"/>
  <c r="AH516" i="6"/>
  <c r="AJ516" i="6"/>
  <c r="AK516" i="6"/>
  <c r="AT515" i="6" s="1"/>
  <c r="AO516" i="6"/>
  <c r="AP516" i="6"/>
  <c r="AV516" i="6"/>
  <c r="AW516" i="6"/>
  <c r="BC516" i="6" s="1"/>
  <c r="AX516" i="6"/>
  <c r="BD516" i="6"/>
  <c r="BF516" i="6"/>
  <c r="BH516" i="6"/>
  <c r="BI516" i="6"/>
  <c r="AG516" i="6" s="1"/>
  <c r="BJ516" i="6"/>
  <c r="AS486" i="6" l="1"/>
  <c r="AX174" i="6"/>
  <c r="M109" i="6"/>
  <c r="BH20" i="6"/>
  <c r="AB20" i="6" s="1"/>
  <c r="AT13" i="6"/>
  <c r="BI14" i="6"/>
  <c r="AC14" i="6" s="1"/>
  <c r="AV14" i="6"/>
  <c r="BH14" i="6"/>
  <c r="AB14" i="6" s="1"/>
  <c r="M378" i="6"/>
  <c r="AX390" i="6"/>
  <c r="AV390" i="6" s="1"/>
  <c r="AV493" i="6"/>
  <c r="AT486" i="6"/>
  <c r="M13" i="6"/>
  <c r="AU13" i="6"/>
  <c r="I10" i="8"/>
  <c r="L17" i="7" s="1"/>
  <c r="BC482" i="6"/>
  <c r="AV482" i="6"/>
  <c r="BC489" i="6"/>
  <c r="AV489" i="6"/>
  <c r="AV469" i="6"/>
  <c r="BC469" i="6"/>
  <c r="AV467" i="6"/>
  <c r="BC467" i="6"/>
  <c r="AV458" i="6"/>
  <c r="BC458" i="6"/>
  <c r="BC297" i="6"/>
  <c r="AV297" i="6"/>
  <c r="AU460" i="6"/>
  <c r="AU432" i="6"/>
  <c r="AV374" i="6"/>
  <c r="BC374" i="6"/>
  <c r="BC364" i="6"/>
  <c r="AV364" i="6"/>
  <c r="BC352" i="6"/>
  <c r="AV352" i="6"/>
  <c r="AU254" i="6"/>
  <c r="AV511" i="6"/>
  <c r="BC506" i="6"/>
  <c r="BH493" i="6"/>
  <c r="AV487" i="6"/>
  <c r="M484" i="6"/>
  <c r="BI480" i="6"/>
  <c r="AC480" i="6" s="1"/>
  <c r="BI467" i="6"/>
  <c r="AC467" i="6" s="1"/>
  <c r="AV463" i="6"/>
  <c r="AV456" i="6"/>
  <c r="BC456" i="6"/>
  <c r="AV450" i="6"/>
  <c r="AT432" i="6"/>
  <c r="BH426" i="6"/>
  <c r="AB426" i="6" s="1"/>
  <c r="BH423" i="6"/>
  <c r="AB423" i="6" s="1"/>
  <c r="AV402" i="6"/>
  <c r="BH377" i="6"/>
  <c r="BC372" i="6"/>
  <c r="BI358" i="6"/>
  <c r="AE358" i="6" s="1"/>
  <c r="AU357" i="6"/>
  <c r="BI347" i="6"/>
  <c r="AE347" i="6" s="1"/>
  <c r="AU337" i="6"/>
  <c r="BH334" i="6"/>
  <c r="AD334" i="6" s="1"/>
  <c r="AV319" i="6"/>
  <c r="BC319" i="6"/>
  <c r="BH308" i="6"/>
  <c r="AV290" i="6"/>
  <c r="BC290" i="6"/>
  <c r="AV284" i="6"/>
  <c r="BC282" i="6"/>
  <c r="AV265" i="6"/>
  <c r="BH255" i="6"/>
  <c r="AD255" i="6" s="1"/>
  <c r="BC139" i="6"/>
  <c r="AV139" i="6"/>
  <c r="BC135" i="6"/>
  <c r="AV135" i="6"/>
  <c r="AV48" i="6"/>
  <c r="AS37" i="6"/>
  <c r="BC325" i="6"/>
  <c r="AV325" i="6"/>
  <c r="AX491" i="6"/>
  <c r="BC491" i="6" s="1"/>
  <c r="BH467" i="6"/>
  <c r="AB467" i="6" s="1"/>
  <c r="AV454" i="6"/>
  <c r="BC454" i="6"/>
  <c r="AV409" i="6"/>
  <c r="BC409" i="6"/>
  <c r="BH390" i="6"/>
  <c r="AD390" i="6" s="1"/>
  <c r="AV345" i="6"/>
  <c r="BC345" i="6"/>
  <c r="BC310" i="6"/>
  <c r="AV271" i="6"/>
  <c r="M254" i="6"/>
  <c r="BC245" i="6"/>
  <c r="AV245" i="6"/>
  <c r="BC243" i="6"/>
  <c r="AV243" i="6"/>
  <c r="BC204" i="6"/>
  <c r="AV204" i="6"/>
  <c r="AL139" i="6"/>
  <c r="AU134" i="6" s="1"/>
  <c r="M134" i="6"/>
  <c r="M273" i="6"/>
  <c r="AV130" i="6"/>
  <c r="BC130" i="6"/>
  <c r="AL516" i="6"/>
  <c r="AU515" i="6" s="1"/>
  <c r="BC497" i="6"/>
  <c r="M460" i="6"/>
  <c r="BC452" i="6"/>
  <c r="AV441" i="6"/>
  <c r="AV437" i="6"/>
  <c r="BC437" i="6"/>
  <c r="M432" i="6"/>
  <c r="BC419" i="6"/>
  <c r="BH412" i="6"/>
  <c r="AD412" i="6" s="1"/>
  <c r="AU408" i="6"/>
  <c r="AU378" i="6"/>
  <c r="BH374" i="6"/>
  <c r="AD374" i="6" s="1"/>
  <c r="BC370" i="6"/>
  <c r="AV361" i="6"/>
  <c r="M357" i="6"/>
  <c r="AV350" i="6"/>
  <c r="AV336" i="6"/>
  <c r="BC336" i="6"/>
  <c r="AL271" i="6"/>
  <c r="AU270" i="6" s="1"/>
  <c r="M270" i="6"/>
  <c r="AW216" i="6"/>
  <c r="BH216" i="6"/>
  <c r="AD216" i="6" s="1"/>
  <c r="BC206" i="6"/>
  <c r="AV206" i="6"/>
  <c r="AV154" i="6"/>
  <c r="AX56" i="6"/>
  <c r="BI56" i="6"/>
  <c r="AC56" i="6" s="1"/>
  <c r="AV412" i="6"/>
  <c r="BC412" i="6"/>
  <c r="BC493" i="6"/>
  <c r="AL487" i="6"/>
  <c r="AU486" i="6" s="1"/>
  <c r="AV478" i="6"/>
  <c r="BI456" i="6"/>
  <c r="AC456" i="6" s="1"/>
  <c r="AS432" i="6"/>
  <c r="AV435" i="6"/>
  <c r="BC435" i="6"/>
  <c r="BI402" i="6"/>
  <c r="AE402" i="6" s="1"/>
  <c r="AV396" i="6"/>
  <c r="BC396" i="6"/>
  <c r="AT337" i="6"/>
  <c r="BC327" i="6"/>
  <c r="BI319" i="6"/>
  <c r="AE319" i="6" s="1"/>
  <c r="AV317" i="6"/>
  <c r="BC317" i="6"/>
  <c r="BC300" i="6"/>
  <c r="BI290" i="6"/>
  <c r="AE290" i="6" s="1"/>
  <c r="AV288" i="6"/>
  <c r="BC288" i="6"/>
  <c r="BC279" i="6"/>
  <c r="AV279" i="6"/>
  <c r="AV269" i="6"/>
  <c r="BC269" i="6"/>
  <c r="AV263" i="6"/>
  <c r="BC261" i="6"/>
  <c r="AV261" i="6"/>
  <c r="AX154" i="6"/>
  <c r="BC154" i="6" s="1"/>
  <c r="BI154" i="6"/>
  <c r="AC154" i="6" s="1"/>
  <c r="AS309" i="6"/>
  <c r="AL506" i="6"/>
  <c r="AU505" i="6" s="1"/>
  <c r="BC474" i="6"/>
  <c r="AV474" i="6"/>
  <c r="BH454" i="6"/>
  <c r="AB454" i="6" s="1"/>
  <c r="AV426" i="6"/>
  <c r="BC426" i="6"/>
  <c r="AV377" i="6"/>
  <c r="BC377" i="6"/>
  <c r="BC367" i="6"/>
  <c r="AV342" i="6"/>
  <c r="BC342" i="6"/>
  <c r="AS337" i="6"/>
  <c r="AU273" i="6"/>
  <c r="AV255" i="6"/>
  <c r="BC255" i="6"/>
  <c r="AX87" i="6"/>
  <c r="BC87" i="6" s="1"/>
  <c r="BI87" i="6"/>
  <c r="AC87" i="6" s="1"/>
  <c r="BC480" i="6"/>
  <c r="BC443" i="6"/>
  <c r="AV443" i="6"/>
  <c r="BI437" i="6"/>
  <c r="AC437" i="6" s="1"/>
  <c r="AV423" i="6"/>
  <c r="BC423" i="6"/>
  <c r="AV405" i="6"/>
  <c r="AT378" i="6"/>
  <c r="AV358" i="6"/>
  <c r="AV356" i="6"/>
  <c r="AV347" i="6"/>
  <c r="BH345" i="6"/>
  <c r="AD345" i="6" s="1"/>
  <c r="BC340" i="6"/>
  <c r="BI336" i="6"/>
  <c r="AV334" i="6"/>
  <c r="BC334" i="6"/>
  <c r="AL310" i="6"/>
  <c r="AU309" i="6" s="1"/>
  <c r="M309" i="6"/>
  <c r="AV308" i="6"/>
  <c r="BC308" i="6"/>
  <c r="AT254" i="6"/>
  <c r="AW235" i="6"/>
  <c r="BH235" i="6"/>
  <c r="AD235" i="6" s="1"/>
  <c r="AX189" i="6"/>
  <c r="BC189" i="6" s="1"/>
  <c r="BI189" i="6"/>
  <c r="AE189" i="6" s="1"/>
  <c r="BC122" i="6"/>
  <c r="AV122" i="6"/>
  <c r="AV112" i="6"/>
  <c r="BC112" i="6"/>
  <c r="AV100" i="6"/>
  <c r="BC100" i="6"/>
  <c r="AL426" i="6"/>
  <c r="AU418" i="6" s="1"/>
  <c r="BC197" i="6"/>
  <c r="AV197" i="6"/>
  <c r="BC194" i="6"/>
  <c r="AV194" i="6"/>
  <c r="AV169" i="6"/>
  <c r="BC169" i="6"/>
  <c r="BC128" i="6"/>
  <c r="AV128" i="6"/>
  <c r="BC125" i="6"/>
  <c r="AV125" i="6"/>
  <c r="AT109" i="6"/>
  <c r="AT55" i="6"/>
  <c r="M37" i="6"/>
  <c r="AV240" i="6"/>
  <c r="AL225" i="6"/>
  <c r="AU224" i="6" s="1"/>
  <c r="M224" i="6"/>
  <c r="AV201" i="6"/>
  <c r="AV186" i="6"/>
  <c r="BC186" i="6"/>
  <c r="AV144" i="6"/>
  <c r="BC144" i="6"/>
  <c r="AV84" i="6"/>
  <c r="BC84" i="6"/>
  <c r="AU55" i="6"/>
  <c r="BC45" i="6"/>
  <c r="AV220" i="6"/>
  <c r="BC220" i="6"/>
  <c r="AV166" i="6"/>
  <c r="AV151" i="6"/>
  <c r="BC151" i="6"/>
  <c r="BC148" i="6"/>
  <c r="AV148" i="6"/>
  <c r="BC142" i="6"/>
  <c r="AT134" i="6"/>
  <c r="AU109" i="6"/>
  <c r="BC53" i="6"/>
  <c r="AV53" i="6"/>
  <c r="BC51" i="6"/>
  <c r="AV51" i="6"/>
  <c r="AV230" i="6"/>
  <c r="BC230" i="6"/>
  <c r="AV218" i="6"/>
  <c r="BC218" i="6"/>
  <c r="AV199" i="6"/>
  <c r="BC174" i="6"/>
  <c r="AV174" i="6"/>
  <c r="AU165" i="6"/>
  <c r="AV160" i="6"/>
  <c r="AS134" i="6"/>
  <c r="AV132" i="6"/>
  <c r="BC132" i="6"/>
  <c r="AV116" i="6"/>
  <c r="BC116" i="6"/>
  <c r="AV107" i="6"/>
  <c r="BC107" i="6"/>
  <c r="BC94" i="6"/>
  <c r="AV94" i="6"/>
  <c r="BC92" i="6"/>
  <c r="AV92" i="6"/>
  <c r="BC65" i="6"/>
  <c r="AV65" i="6"/>
  <c r="BC63" i="6"/>
  <c r="AV63" i="6"/>
  <c r="AL53" i="6"/>
  <c r="AU50" i="6" s="1"/>
  <c r="M50" i="6"/>
  <c r="BC32" i="6"/>
  <c r="AV32" i="6"/>
  <c r="AV238" i="6"/>
  <c r="BC238" i="6"/>
  <c r="AT173" i="6"/>
  <c r="AL174" i="6"/>
  <c r="AU173" i="6" s="1"/>
  <c r="M173" i="6"/>
  <c r="AV163" i="6"/>
  <c r="BC163" i="6"/>
  <c r="AS109" i="6"/>
  <c r="BH84" i="6"/>
  <c r="AB84" i="6" s="1"/>
  <c r="AL32" i="6"/>
  <c r="AU31" i="6" s="1"/>
  <c r="M31" i="6"/>
  <c r="BC20" i="6"/>
  <c r="AV20" i="6"/>
  <c r="AV248" i="6"/>
  <c r="AV227" i="6"/>
  <c r="AV209" i="6"/>
  <c r="BC180" i="6"/>
  <c r="BH151" i="6"/>
  <c r="AB151" i="6" s="1"/>
  <c r="AV87" i="6"/>
  <c r="AV56" i="6"/>
  <c r="BC43" i="6"/>
  <c r="AV43" i="6"/>
  <c r="BC40" i="6"/>
  <c r="AV40" i="6"/>
  <c r="AU37" i="6"/>
  <c r="AL20" i="6"/>
  <c r="AU19" i="6" s="1"/>
  <c r="M19" i="6"/>
  <c r="BC250" i="6"/>
  <c r="M198" i="6"/>
  <c r="BC78" i="6"/>
  <c r="M55" i="6"/>
  <c r="BC48" i="6"/>
  <c r="BC14" i="6"/>
  <c r="BC253" i="6"/>
  <c r="BC232" i="6"/>
  <c r="AV225" i="6"/>
  <c r="BC222" i="6"/>
  <c r="BC214" i="6"/>
  <c r="BC160" i="6"/>
  <c r="BC81" i="6"/>
  <c r="BC29" i="6"/>
  <c r="BC16" i="6"/>
  <c r="BC119" i="6"/>
  <c r="BC56" i="6"/>
  <c r="M12" i="6" l="1"/>
  <c r="L12" i="7" s="1"/>
  <c r="P12" i="7" s="1"/>
  <c r="BC390" i="6"/>
  <c r="AV189" i="6"/>
  <c r="AV491" i="6"/>
  <c r="M519" i="6"/>
  <c r="AV235" i="6"/>
  <c r="BC235" i="6"/>
  <c r="AV216" i="6"/>
  <c r="BC216" i="6"/>
  <c r="P15" i="7" l="1"/>
  <c r="F86" i="4"/>
  <c r="J35" i="4"/>
  <c r="J36" i="4"/>
  <c r="J37" i="4"/>
  <c r="E48" i="4"/>
  <c r="E50" i="4"/>
  <c r="F52" i="4"/>
  <c r="J52" i="4"/>
  <c r="F54" i="4"/>
  <c r="J54" i="4"/>
  <c r="F55" i="4"/>
  <c r="J55" i="4"/>
  <c r="E79" i="4"/>
  <c r="E81" i="4"/>
  <c r="F83" i="4"/>
  <c r="J83" i="4"/>
  <c r="F85" i="4"/>
  <c r="J85" i="4"/>
  <c r="J86" i="4"/>
  <c r="J92" i="4"/>
  <c r="BE92" i="4" s="1"/>
  <c r="P92" i="4"/>
  <c r="R92" i="4"/>
  <c r="T92" i="4"/>
  <c r="BF92" i="4"/>
  <c r="BG92" i="4"/>
  <c r="BH92" i="4"/>
  <c r="BI92" i="4"/>
  <c r="BK92" i="4"/>
  <c r="J95" i="4"/>
  <c r="P95" i="4"/>
  <c r="R95" i="4"/>
  <c r="T95" i="4"/>
  <c r="BE95" i="4"/>
  <c r="BF95" i="4"/>
  <c r="BG95" i="4"/>
  <c r="BH95" i="4"/>
  <c r="BI95" i="4"/>
  <c r="BK95" i="4"/>
  <c r="J99" i="4"/>
  <c r="BE99" i="4" s="1"/>
  <c r="P99" i="4"/>
  <c r="R99" i="4"/>
  <c r="T99" i="4"/>
  <c r="BF99" i="4"/>
  <c r="BG99" i="4"/>
  <c r="BH99" i="4"/>
  <c r="BI99" i="4"/>
  <c r="BK99" i="4"/>
  <c r="J103" i="4"/>
  <c r="BE103" i="4" s="1"/>
  <c r="P103" i="4"/>
  <c r="R103" i="4"/>
  <c r="T103" i="4"/>
  <c r="BF103" i="4"/>
  <c r="BG103" i="4"/>
  <c r="BH103" i="4"/>
  <c r="BI103" i="4"/>
  <c r="BK103" i="4"/>
  <c r="J107" i="4"/>
  <c r="P107" i="4"/>
  <c r="R107" i="4"/>
  <c r="T107" i="4"/>
  <c r="BE107" i="4"/>
  <c r="BF107" i="4"/>
  <c r="BG107" i="4"/>
  <c r="BH107" i="4"/>
  <c r="BI107" i="4"/>
  <c r="BK107" i="4"/>
  <c r="J111" i="4"/>
  <c r="P111" i="4"/>
  <c r="R111" i="4"/>
  <c r="T111" i="4"/>
  <c r="BE111" i="4"/>
  <c r="BF111" i="4"/>
  <c r="BG111" i="4"/>
  <c r="BH111" i="4"/>
  <c r="BI111" i="4"/>
  <c r="BK111" i="4"/>
  <c r="J114" i="4"/>
  <c r="BE114" i="4" s="1"/>
  <c r="P114" i="4"/>
  <c r="R114" i="4"/>
  <c r="T114" i="4"/>
  <c r="BF114" i="4"/>
  <c r="BG114" i="4"/>
  <c r="BH114" i="4"/>
  <c r="BI114" i="4"/>
  <c r="BK114" i="4"/>
  <c r="J118" i="4"/>
  <c r="BE118" i="4" s="1"/>
  <c r="P118" i="4"/>
  <c r="R118" i="4"/>
  <c r="T118" i="4"/>
  <c r="BF118" i="4"/>
  <c r="BG118" i="4"/>
  <c r="BH118" i="4"/>
  <c r="BI118" i="4"/>
  <c r="BK118" i="4"/>
  <c r="BK110" i="4" s="1"/>
  <c r="J110" i="4" s="1"/>
  <c r="J62" i="4" s="1"/>
  <c r="J121" i="4"/>
  <c r="BE121" i="4" s="1"/>
  <c r="P121" i="4"/>
  <c r="R121" i="4"/>
  <c r="T121" i="4"/>
  <c r="BF121" i="4"/>
  <c r="BG121" i="4"/>
  <c r="BH121" i="4"/>
  <c r="BI121" i="4"/>
  <c r="BK121" i="4"/>
  <c r="J124" i="4"/>
  <c r="P124" i="4"/>
  <c r="R124" i="4"/>
  <c r="T124" i="4"/>
  <c r="BE124" i="4"/>
  <c r="BF124" i="4"/>
  <c r="BG124" i="4"/>
  <c r="BH124" i="4"/>
  <c r="BI124" i="4"/>
  <c r="BK124" i="4"/>
  <c r="J130" i="4"/>
  <c r="BE130" i="4" s="1"/>
  <c r="P130" i="4"/>
  <c r="R130" i="4"/>
  <c r="T130" i="4"/>
  <c r="T129" i="4" s="1"/>
  <c r="BF130" i="4"/>
  <c r="BG130" i="4"/>
  <c r="BH130" i="4"/>
  <c r="BI130" i="4"/>
  <c r="BK130" i="4"/>
  <c r="J131" i="4"/>
  <c r="BE131" i="4" s="1"/>
  <c r="P131" i="4"/>
  <c r="R131" i="4"/>
  <c r="T131" i="4"/>
  <c r="BF131" i="4"/>
  <c r="BG131" i="4"/>
  <c r="BH131" i="4"/>
  <c r="BI131" i="4"/>
  <c r="BK131" i="4"/>
  <c r="J132" i="4"/>
  <c r="BE132" i="4" s="1"/>
  <c r="P132" i="4"/>
  <c r="R132" i="4"/>
  <c r="T132" i="4"/>
  <c r="BF132" i="4"/>
  <c r="BG132" i="4"/>
  <c r="BH132" i="4"/>
  <c r="BI132" i="4"/>
  <c r="BK132" i="4"/>
  <c r="J133" i="4"/>
  <c r="BE133" i="4" s="1"/>
  <c r="P133" i="4"/>
  <c r="R133" i="4"/>
  <c r="T133" i="4"/>
  <c r="BF133" i="4"/>
  <c r="BG133" i="4"/>
  <c r="BH133" i="4"/>
  <c r="BI133" i="4"/>
  <c r="BK133" i="4"/>
  <c r="J134" i="4"/>
  <c r="BE134" i="4" s="1"/>
  <c r="P134" i="4"/>
  <c r="R134" i="4"/>
  <c r="T134" i="4"/>
  <c r="BF134" i="4"/>
  <c r="BG134" i="4"/>
  <c r="BH134" i="4"/>
  <c r="BI134" i="4"/>
  <c r="BK134" i="4"/>
  <c r="J135" i="4"/>
  <c r="P135" i="4"/>
  <c r="R135" i="4"/>
  <c r="T135" i="4"/>
  <c r="BE135" i="4"/>
  <c r="BF135" i="4"/>
  <c r="BG135" i="4"/>
  <c r="BH135" i="4"/>
  <c r="BI135" i="4"/>
  <c r="BK135" i="4"/>
  <c r="J136" i="4"/>
  <c r="BE136" i="4" s="1"/>
  <c r="P136" i="4"/>
  <c r="R136" i="4"/>
  <c r="T136" i="4"/>
  <c r="BF136" i="4"/>
  <c r="BG136" i="4"/>
  <c r="BH136" i="4"/>
  <c r="BI136" i="4"/>
  <c r="BK136" i="4"/>
  <c r="J137" i="4"/>
  <c r="BE137" i="4" s="1"/>
  <c r="P137" i="4"/>
  <c r="R137" i="4"/>
  <c r="T137" i="4"/>
  <c r="BF137" i="4"/>
  <c r="BG137" i="4"/>
  <c r="BH137" i="4"/>
  <c r="BI137" i="4"/>
  <c r="BK137" i="4"/>
  <c r="J138" i="4"/>
  <c r="BE138" i="4" s="1"/>
  <c r="P138" i="4"/>
  <c r="R138" i="4"/>
  <c r="T138" i="4"/>
  <c r="BF138" i="4"/>
  <c r="BG138" i="4"/>
  <c r="BH138" i="4"/>
  <c r="BI138" i="4"/>
  <c r="BK138" i="4"/>
  <c r="J139" i="4"/>
  <c r="P139" i="4"/>
  <c r="R139" i="4"/>
  <c r="T139" i="4"/>
  <c r="BE139" i="4"/>
  <c r="BF139" i="4"/>
  <c r="BG139" i="4"/>
  <c r="BH139" i="4"/>
  <c r="BI139" i="4"/>
  <c r="BK139" i="4"/>
  <c r="J140" i="4"/>
  <c r="P140" i="4"/>
  <c r="R140" i="4"/>
  <c r="T140" i="4"/>
  <c r="BE140" i="4"/>
  <c r="BF140" i="4"/>
  <c r="BG140" i="4"/>
  <c r="BH140" i="4"/>
  <c r="BI140" i="4"/>
  <c r="BK140" i="4"/>
  <c r="J141" i="4"/>
  <c r="BE141" i="4" s="1"/>
  <c r="P141" i="4"/>
  <c r="R141" i="4"/>
  <c r="T141" i="4"/>
  <c r="BF141" i="4"/>
  <c r="BG141" i="4"/>
  <c r="BH141" i="4"/>
  <c r="BI141" i="4"/>
  <c r="BK141" i="4"/>
  <c r="J142" i="4"/>
  <c r="BE142" i="4" s="1"/>
  <c r="P142" i="4"/>
  <c r="R142" i="4"/>
  <c r="T142" i="4"/>
  <c r="BF142" i="4"/>
  <c r="BG142" i="4"/>
  <c r="BH142" i="4"/>
  <c r="BI142" i="4"/>
  <c r="BK142" i="4"/>
  <c r="J143" i="4"/>
  <c r="BE143" i="4" s="1"/>
  <c r="P143" i="4"/>
  <c r="R143" i="4"/>
  <c r="T143" i="4"/>
  <c r="BF143" i="4"/>
  <c r="BG143" i="4"/>
  <c r="BH143" i="4"/>
  <c r="BI143" i="4"/>
  <c r="BK143" i="4"/>
  <c r="J144" i="4"/>
  <c r="P144" i="4"/>
  <c r="R144" i="4"/>
  <c r="T144" i="4"/>
  <c r="BE144" i="4"/>
  <c r="BF144" i="4"/>
  <c r="BG144" i="4"/>
  <c r="BH144" i="4"/>
  <c r="BI144" i="4"/>
  <c r="BK144" i="4"/>
  <c r="J145" i="4"/>
  <c r="BE145" i="4" s="1"/>
  <c r="P145" i="4"/>
  <c r="R145" i="4"/>
  <c r="T145" i="4"/>
  <c r="BF145" i="4"/>
  <c r="BG145" i="4"/>
  <c r="BH145" i="4"/>
  <c r="BI145" i="4"/>
  <c r="BK145" i="4"/>
  <c r="J146" i="4"/>
  <c r="BE146" i="4" s="1"/>
  <c r="P146" i="4"/>
  <c r="R146" i="4"/>
  <c r="T146" i="4"/>
  <c r="BF146" i="4"/>
  <c r="BG146" i="4"/>
  <c r="BH146" i="4"/>
  <c r="BI146" i="4"/>
  <c r="BK146" i="4"/>
  <c r="J147" i="4"/>
  <c r="BE147" i="4" s="1"/>
  <c r="P147" i="4"/>
  <c r="R147" i="4"/>
  <c r="T147" i="4"/>
  <c r="BF147" i="4"/>
  <c r="BG147" i="4"/>
  <c r="BH147" i="4"/>
  <c r="BI147" i="4"/>
  <c r="BK147" i="4"/>
  <c r="J148" i="4"/>
  <c r="BE148" i="4" s="1"/>
  <c r="P148" i="4"/>
  <c r="R148" i="4"/>
  <c r="T148" i="4"/>
  <c r="BF148" i="4"/>
  <c r="BG148" i="4"/>
  <c r="BH148" i="4"/>
  <c r="BI148" i="4"/>
  <c r="BK148" i="4"/>
  <c r="J151" i="4"/>
  <c r="BE151" i="4" s="1"/>
  <c r="P151" i="4"/>
  <c r="R151" i="4"/>
  <c r="T151" i="4"/>
  <c r="BF151" i="4"/>
  <c r="BG151" i="4"/>
  <c r="BH151" i="4"/>
  <c r="BI151" i="4"/>
  <c r="BK151" i="4"/>
  <c r="J154" i="4"/>
  <c r="BE154" i="4" s="1"/>
  <c r="P154" i="4"/>
  <c r="R154" i="4"/>
  <c r="T154" i="4"/>
  <c r="BF154" i="4"/>
  <c r="BG154" i="4"/>
  <c r="BH154" i="4"/>
  <c r="BI154" i="4"/>
  <c r="BK154" i="4"/>
  <c r="J157" i="4"/>
  <c r="P157" i="4"/>
  <c r="R157" i="4"/>
  <c r="T157" i="4"/>
  <c r="BE157" i="4"/>
  <c r="BF157" i="4"/>
  <c r="BG157" i="4"/>
  <c r="BH157" i="4"/>
  <c r="BI157" i="4"/>
  <c r="BK157" i="4"/>
  <c r="J160" i="4"/>
  <c r="BE160" i="4" s="1"/>
  <c r="P160" i="4"/>
  <c r="R160" i="4"/>
  <c r="T160" i="4"/>
  <c r="BF160" i="4"/>
  <c r="BG160" i="4"/>
  <c r="BH160" i="4"/>
  <c r="BI160" i="4"/>
  <c r="BK160" i="4"/>
  <c r="J164" i="4"/>
  <c r="BE164" i="4" s="1"/>
  <c r="P164" i="4"/>
  <c r="R164" i="4"/>
  <c r="T164" i="4"/>
  <c r="BF164" i="4"/>
  <c r="BG164" i="4"/>
  <c r="BH164" i="4"/>
  <c r="BI164" i="4"/>
  <c r="BK164" i="4"/>
  <c r="J166" i="4"/>
  <c r="BE166" i="4" s="1"/>
  <c r="P166" i="4"/>
  <c r="R166" i="4"/>
  <c r="T166" i="4"/>
  <c r="BF166" i="4"/>
  <c r="BG166" i="4"/>
  <c r="BH166" i="4"/>
  <c r="BI166" i="4"/>
  <c r="BK166" i="4"/>
  <c r="J167" i="4"/>
  <c r="P167" i="4"/>
  <c r="R167" i="4"/>
  <c r="T167" i="4"/>
  <c r="BE167" i="4"/>
  <c r="BF167" i="4"/>
  <c r="BG167" i="4"/>
  <c r="BH167" i="4"/>
  <c r="BI167" i="4"/>
  <c r="BK167" i="4"/>
  <c r="J168" i="4"/>
  <c r="BE168" i="4" s="1"/>
  <c r="P168" i="4"/>
  <c r="R168" i="4"/>
  <c r="T168" i="4"/>
  <c r="BF168" i="4"/>
  <c r="BG168" i="4"/>
  <c r="BH168" i="4"/>
  <c r="BI168" i="4"/>
  <c r="BK168" i="4"/>
  <c r="J169" i="4"/>
  <c r="BE169" i="4" s="1"/>
  <c r="P169" i="4"/>
  <c r="R169" i="4"/>
  <c r="T169" i="4"/>
  <c r="BF169" i="4"/>
  <c r="BG169" i="4"/>
  <c r="BH169" i="4"/>
  <c r="BI169" i="4"/>
  <c r="BK169" i="4"/>
  <c r="J170" i="4"/>
  <c r="BE170" i="4" s="1"/>
  <c r="P170" i="4"/>
  <c r="R170" i="4"/>
  <c r="T170" i="4"/>
  <c r="BF170" i="4"/>
  <c r="BG170" i="4"/>
  <c r="BH170" i="4"/>
  <c r="BI170" i="4"/>
  <c r="BK170" i="4"/>
  <c r="J171" i="4"/>
  <c r="P171" i="4"/>
  <c r="R171" i="4"/>
  <c r="T171" i="4"/>
  <c r="BE171" i="4"/>
  <c r="BF171" i="4"/>
  <c r="BG171" i="4"/>
  <c r="BH171" i="4"/>
  <c r="BI171" i="4"/>
  <c r="BK171" i="4"/>
  <c r="J172" i="4"/>
  <c r="BE172" i="4" s="1"/>
  <c r="P172" i="4"/>
  <c r="R172" i="4"/>
  <c r="T172" i="4"/>
  <c r="BF172" i="4"/>
  <c r="BG172" i="4"/>
  <c r="BH172" i="4"/>
  <c r="BI172" i="4"/>
  <c r="BK172" i="4"/>
  <c r="J174" i="4"/>
  <c r="BE174" i="4" s="1"/>
  <c r="P174" i="4"/>
  <c r="R174" i="4"/>
  <c r="T174" i="4"/>
  <c r="BF174" i="4"/>
  <c r="BG174" i="4"/>
  <c r="BH174" i="4"/>
  <c r="BI174" i="4"/>
  <c r="BK174" i="4"/>
  <c r="J175" i="4"/>
  <c r="P175" i="4"/>
  <c r="R175" i="4"/>
  <c r="T175" i="4"/>
  <c r="BE175" i="4"/>
  <c r="BF175" i="4"/>
  <c r="BG175" i="4"/>
  <c r="BH175" i="4"/>
  <c r="BI175" i="4"/>
  <c r="BK175" i="4"/>
  <c r="J177" i="4"/>
  <c r="BE177" i="4" s="1"/>
  <c r="P177" i="4"/>
  <c r="R177" i="4"/>
  <c r="T177" i="4"/>
  <c r="BF177" i="4"/>
  <c r="BG177" i="4"/>
  <c r="BH177" i="4"/>
  <c r="BI177" i="4"/>
  <c r="BK177" i="4"/>
  <c r="J178" i="4"/>
  <c r="BE178" i="4" s="1"/>
  <c r="P178" i="4"/>
  <c r="R178" i="4"/>
  <c r="T178" i="4"/>
  <c r="BF178" i="4"/>
  <c r="BG178" i="4"/>
  <c r="BH178" i="4"/>
  <c r="BI178" i="4"/>
  <c r="BK178" i="4"/>
  <c r="J181" i="4"/>
  <c r="BE181" i="4" s="1"/>
  <c r="P181" i="4"/>
  <c r="R181" i="4"/>
  <c r="T181" i="4"/>
  <c r="BF181" i="4"/>
  <c r="BG181" i="4"/>
  <c r="BH181" i="4"/>
  <c r="BI181" i="4"/>
  <c r="BK181" i="4"/>
  <c r="J184" i="4"/>
  <c r="P184" i="4"/>
  <c r="R184" i="4"/>
  <c r="T184" i="4"/>
  <c r="BE184" i="4"/>
  <c r="BF184" i="4"/>
  <c r="BG184" i="4"/>
  <c r="BH184" i="4"/>
  <c r="BI184" i="4"/>
  <c r="BK184" i="4"/>
  <c r="J186" i="4"/>
  <c r="P186" i="4"/>
  <c r="R186" i="4"/>
  <c r="T186" i="4"/>
  <c r="BE186" i="4"/>
  <c r="BF186" i="4"/>
  <c r="BG186" i="4"/>
  <c r="BH186" i="4"/>
  <c r="BI186" i="4"/>
  <c r="BK186" i="4"/>
  <c r="J188" i="4"/>
  <c r="BE188" i="4" s="1"/>
  <c r="P188" i="4"/>
  <c r="R188" i="4"/>
  <c r="T188" i="4"/>
  <c r="BF188" i="4"/>
  <c r="BG188" i="4"/>
  <c r="BH188" i="4"/>
  <c r="BI188" i="4"/>
  <c r="BK188" i="4"/>
  <c r="J189" i="4"/>
  <c r="BE189" i="4" s="1"/>
  <c r="P189" i="4"/>
  <c r="R189" i="4"/>
  <c r="T189" i="4"/>
  <c r="BF189" i="4"/>
  <c r="BG189" i="4"/>
  <c r="BH189" i="4"/>
  <c r="BI189" i="4"/>
  <c r="BK189" i="4"/>
  <c r="J191" i="4"/>
  <c r="P191" i="4"/>
  <c r="R191" i="4"/>
  <c r="T191" i="4"/>
  <c r="BE191" i="4"/>
  <c r="BF191" i="4"/>
  <c r="BG191" i="4"/>
  <c r="BH191" i="4"/>
  <c r="BI191" i="4"/>
  <c r="BK191" i="4"/>
  <c r="J193" i="4"/>
  <c r="P193" i="4"/>
  <c r="R193" i="4"/>
  <c r="T193" i="4"/>
  <c r="BE193" i="4"/>
  <c r="BF193" i="4"/>
  <c r="BG193" i="4"/>
  <c r="BH193" i="4"/>
  <c r="BI193" i="4"/>
  <c r="BK193" i="4"/>
  <c r="J195" i="4"/>
  <c r="BE195" i="4" s="1"/>
  <c r="P195" i="4"/>
  <c r="P190" i="4" s="1"/>
  <c r="R195" i="4"/>
  <c r="T195" i="4"/>
  <c r="BF195" i="4"/>
  <c r="BG195" i="4"/>
  <c r="BH195" i="4"/>
  <c r="BI195" i="4"/>
  <c r="BK195" i="4"/>
  <c r="J197" i="4"/>
  <c r="BE197" i="4" s="1"/>
  <c r="P197" i="4"/>
  <c r="R197" i="4"/>
  <c r="T197" i="4"/>
  <c r="BF197" i="4"/>
  <c r="BG197" i="4"/>
  <c r="BH197" i="4"/>
  <c r="BI197" i="4"/>
  <c r="BK197" i="4"/>
  <c r="J199" i="4"/>
  <c r="BE199" i="4" s="1"/>
  <c r="P199" i="4"/>
  <c r="R199" i="4"/>
  <c r="T199" i="4"/>
  <c r="BF199" i="4"/>
  <c r="BG199" i="4"/>
  <c r="BH199" i="4"/>
  <c r="BI199" i="4"/>
  <c r="BK199" i="4"/>
  <c r="J201" i="4"/>
  <c r="P201" i="4"/>
  <c r="R201" i="4"/>
  <c r="T201" i="4"/>
  <c r="BE201" i="4"/>
  <c r="BF201" i="4"/>
  <c r="BG201" i="4"/>
  <c r="BH201" i="4"/>
  <c r="BI201" i="4"/>
  <c r="BK201" i="4"/>
  <c r="J203" i="4"/>
  <c r="BE203" i="4" s="1"/>
  <c r="P203" i="4"/>
  <c r="R203" i="4"/>
  <c r="T203" i="4"/>
  <c r="BF203" i="4"/>
  <c r="BG203" i="4"/>
  <c r="BH203" i="4"/>
  <c r="BI203" i="4"/>
  <c r="BK203" i="4"/>
  <c r="J205" i="4"/>
  <c r="BE205" i="4" s="1"/>
  <c r="P205" i="4"/>
  <c r="R205" i="4"/>
  <c r="T205" i="4"/>
  <c r="BF205" i="4"/>
  <c r="BG205" i="4"/>
  <c r="BH205" i="4"/>
  <c r="BI205" i="4"/>
  <c r="BK205" i="4"/>
  <c r="J207" i="4"/>
  <c r="BE207" i="4" s="1"/>
  <c r="P207" i="4"/>
  <c r="R207" i="4"/>
  <c r="T207" i="4"/>
  <c r="BF207" i="4"/>
  <c r="BG207" i="4"/>
  <c r="BH207" i="4"/>
  <c r="BI207" i="4"/>
  <c r="BK207" i="4"/>
  <c r="J210" i="4"/>
  <c r="BE210" i="4" s="1"/>
  <c r="P210" i="4"/>
  <c r="R210" i="4"/>
  <c r="T210" i="4"/>
  <c r="BF210" i="4"/>
  <c r="BG210" i="4"/>
  <c r="BH210" i="4"/>
  <c r="BI210" i="4"/>
  <c r="BK210" i="4"/>
  <c r="J213" i="4"/>
  <c r="BE213" i="4" s="1"/>
  <c r="P213" i="4"/>
  <c r="R213" i="4"/>
  <c r="T213" i="4"/>
  <c r="BF213" i="4"/>
  <c r="BG213" i="4"/>
  <c r="BH213" i="4"/>
  <c r="BI213" i="4"/>
  <c r="BK213" i="4"/>
  <c r="J216" i="4"/>
  <c r="BE216" i="4" s="1"/>
  <c r="P216" i="4"/>
  <c r="R216" i="4"/>
  <c r="T216" i="4"/>
  <c r="BF216" i="4"/>
  <c r="BG216" i="4"/>
  <c r="BH216" i="4"/>
  <c r="BI216" i="4"/>
  <c r="BK216" i="4"/>
  <c r="J219" i="4"/>
  <c r="P219" i="4"/>
  <c r="R219" i="4"/>
  <c r="T219" i="4"/>
  <c r="BE219" i="4"/>
  <c r="BF219" i="4"/>
  <c r="BG219" i="4"/>
  <c r="BH219" i="4"/>
  <c r="BI219" i="4"/>
  <c r="BK219" i="4"/>
  <c r="J221" i="4"/>
  <c r="BE221" i="4" s="1"/>
  <c r="P221" i="4"/>
  <c r="R221" i="4"/>
  <c r="T221" i="4"/>
  <c r="BF221" i="4"/>
  <c r="BG221" i="4"/>
  <c r="BH221" i="4"/>
  <c r="BI221" i="4"/>
  <c r="BK221" i="4"/>
  <c r="J223" i="4"/>
  <c r="BE223" i="4" s="1"/>
  <c r="P223" i="4"/>
  <c r="R223" i="4"/>
  <c r="T223" i="4"/>
  <c r="BF223" i="4"/>
  <c r="BG223" i="4"/>
  <c r="BH223" i="4"/>
  <c r="BI223" i="4"/>
  <c r="BK223" i="4"/>
  <c r="J225" i="4"/>
  <c r="BE225" i="4" s="1"/>
  <c r="P225" i="4"/>
  <c r="R225" i="4"/>
  <c r="T225" i="4"/>
  <c r="BF225" i="4"/>
  <c r="BG225" i="4"/>
  <c r="BH225" i="4"/>
  <c r="BI225" i="4"/>
  <c r="BK225" i="4"/>
  <c r="J227" i="4"/>
  <c r="P227" i="4"/>
  <c r="R227" i="4"/>
  <c r="T227" i="4"/>
  <c r="BE227" i="4"/>
  <c r="BF227" i="4"/>
  <c r="BG227" i="4"/>
  <c r="BH227" i="4"/>
  <c r="BI227" i="4"/>
  <c r="BK227" i="4"/>
  <c r="J229" i="4"/>
  <c r="P229" i="4"/>
  <c r="R229" i="4"/>
  <c r="T229" i="4"/>
  <c r="BE229" i="4"/>
  <c r="BF229" i="4"/>
  <c r="BG229" i="4"/>
  <c r="BH229" i="4"/>
  <c r="BI229" i="4"/>
  <c r="BK229" i="4"/>
  <c r="J231" i="4"/>
  <c r="BE231" i="4" s="1"/>
  <c r="P231" i="4"/>
  <c r="R231" i="4"/>
  <c r="T231" i="4"/>
  <c r="BF231" i="4"/>
  <c r="BG231" i="4"/>
  <c r="BH231" i="4"/>
  <c r="BI231" i="4"/>
  <c r="BK231" i="4"/>
  <c r="J233" i="4"/>
  <c r="BE233" i="4" s="1"/>
  <c r="P233" i="4"/>
  <c r="R233" i="4"/>
  <c r="T233" i="4"/>
  <c r="BF233" i="4"/>
  <c r="BG233" i="4"/>
  <c r="BH233" i="4"/>
  <c r="BI233" i="4"/>
  <c r="BK233" i="4"/>
  <c r="J235" i="4"/>
  <c r="BE235" i="4" s="1"/>
  <c r="P235" i="4"/>
  <c r="R235" i="4"/>
  <c r="T235" i="4"/>
  <c r="BF235" i="4"/>
  <c r="BG235" i="4"/>
  <c r="BH235" i="4"/>
  <c r="BI235" i="4"/>
  <c r="BK235" i="4"/>
  <c r="J238" i="4"/>
  <c r="P238" i="4"/>
  <c r="R238" i="4"/>
  <c r="T238" i="4"/>
  <c r="BE238" i="4"/>
  <c r="BF238" i="4"/>
  <c r="BG238" i="4"/>
  <c r="BH238" i="4"/>
  <c r="BI238" i="4"/>
  <c r="BK238" i="4"/>
  <c r="J241" i="4"/>
  <c r="BE241" i="4" s="1"/>
  <c r="P241" i="4"/>
  <c r="R241" i="4"/>
  <c r="T241" i="4"/>
  <c r="BF241" i="4"/>
  <c r="BG241" i="4"/>
  <c r="BH241" i="4"/>
  <c r="BI241" i="4"/>
  <c r="BK241" i="4"/>
  <c r="J243" i="4"/>
  <c r="BE243" i="4" s="1"/>
  <c r="P243" i="4"/>
  <c r="R243" i="4"/>
  <c r="T243" i="4"/>
  <c r="BF243" i="4"/>
  <c r="BG243" i="4"/>
  <c r="BH243" i="4"/>
  <c r="BI243" i="4"/>
  <c r="BK243" i="4"/>
  <c r="J245" i="4"/>
  <c r="BE245" i="4" s="1"/>
  <c r="P245" i="4"/>
  <c r="R245" i="4"/>
  <c r="T245" i="4"/>
  <c r="BF245" i="4"/>
  <c r="BG245" i="4"/>
  <c r="BH245" i="4"/>
  <c r="BI245" i="4"/>
  <c r="BK245" i="4"/>
  <c r="J247" i="4"/>
  <c r="BE247" i="4" s="1"/>
  <c r="P247" i="4"/>
  <c r="R247" i="4"/>
  <c r="T247" i="4"/>
  <c r="BF247" i="4"/>
  <c r="BG247" i="4"/>
  <c r="BH247" i="4"/>
  <c r="BI247" i="4"/>
  <c r="BK247" i="4"/>
  <c r="J250" i="4"/>
  <c r="BE250" i="4" s="1"/>
  <c r="P250" i="4"/>
  <c r="R250" i="4"/>
  <c r="T250" i="4"/>
  <c r="BF250" i="4"/>
  <c r="BG250" i="4"/>
  <c r="BH250" i="4"/>
  <c r="BI250" i="4"/>
  <c r="BK250" i="4"/>
  <c r="J254" i="4"/>
  <c r="P254" i="4"/>
  <c r="R254" i="4"/>
  <c r="T254" i="4"/>
  <c r="BE254" i="4"/>
  <c r="BF254" i="4"/>
  <c r="BG254" i="4"/>
  <c r="BH254" i="4"/>
  <c r="BI254" i="4"/>
  <c r="BK254" i="4"/>
  <c r="J256" i="4"/>
  <c r="P256" i="4"/>
  <c r="R256" i="4"/>
  <c r="T256" i="4"/>
  <c r="BE256" i="4"/>
  <c r="BF256" i="4"/>
  <c r="BG256" i="4"/>
  <c r="BH256" i="4"/>
  <c r="BI256" i="4"/>
  <c r="BK256" i="4"/>
  <c r="J257" i="4"/>
  <c r="BE257" i="4" s="1"/>
  <c r="P257" i="4"/>
  <c r="R257" i="4"/>
  <c r="T257" i="4"/>
  <c r="BF257" i="4"/>
  <c r="BG257" i="4"/>
  <c r="BH257" i="4"/>
  <c r="BI257" i="4"/>
  <c r="BK257" i="4"/>
  <c r="J259" i="4"/>
  <c r="BE259" i="4" s="1"/>
  <c r="P259" i="4"/>
  <c r="R259" i="4"/>
  <c r="T259" i="4"/>
  <c r="BF259" i="4"/>
  <c r="BG259" i="4"/>
  <c r="BH259" i="4"/>
  <c r="BI259" i="4"/>
  <c r="BK259" i="4"/>
  <c r="J260" i="4"/>
  <c r="BE260" i="4" s="1"/>
  <c r="P260" i="4"/>
  <c r="R260" i="4"/>
  <c r="T260" i="4"/>
  <c r="BF260" i="4"/>
  <c r="BG260" i="4"/>
  <c r="BH260" i="4"/>
  <c r="BI260" i="4"/>
  <c r="BK260" i="4"/>
  <c r="J262" i="4"/>
  <c r="P262" i="4"/>
  <c r="R262" i="4"/>
  <c r="T262" i="4"/>
  <c r="BE262" i="4"/>
  <c r="BF262" i="4"/>
  <c r="BG262" i="4"/>
  <c r="BH262" i="4"/>
  <c r="BI262" i="4"/>
  <c r="BK262" i="4"/>
  <c r="J263" i="4"/>
  <c r="BE263" i="4" s="1"/>
  <c r="P263" i="4"/>
  <c r="R263" i="4"/>
  <c r="T263" i="4"/>
  <c r="BF263" i="4"/>
  <c r="BG263" i="4"/>
  <c r="BH263" i="4"/>
  <c r="BI263" i="4"/>
  <c r="BK263" i="4"/>
  <c r="J265" i="4"/>
  <c r="BE265" i="4" s="1"/>
  <c r="P265" i="4"/>
  <c r="R265" i="4"/>
  <c r="T265" i="4"/>
  <c r="BF265" i="4"/>
  <c r="BG265" i="4"/>
  <c r="BH265" i="4"/>
  <c r="BI265" i="4"/>
  <c r="BK265" i="4"/>
  <c r="J266" i="4"/>
  <c r="BE266" i="4" s="1"/>
  <c r="P266" i="4"/>
  <c r="R266" i="4"/>
  <c r="T266" i="4"/>
  <c r="BF266" i="4"/>
  <c r="BG266" i="4"/>
  <c r="BH266" i="4"/>
  <c r="BI266" i="4"/>
  <c r="BK266" i="4"/>
  <c r="J268" i="4"/>
  <c r="P268" i="4"/>
  <c r="R268" i="4"/>
  <c r="T268" i="4"/>
  <c r="BE268" i="4"/>
  <c r="BF268" i="4"/>
  <c r="BG268" i="4"/>
  <c r="BH268" i="4"/>
  <c r="BI268" i="4"/>
  <c r="BK268" i="4"/>
  <c r="J269" i="4"/>
  <c r="BE269" i="4" s="1"/>
  <c r="P269" i="4"/>
  <c r="R269" i="4"/>
  <c r="T269" i="4"/>
  <c r="BF269" i="4"/>
  <c r="BG269" i="4"/>
  <c r="BH269" i="4"/>
  <c r="BI269" i="4"/>
  <c r="BK269" i="4"/>
  <c r="J271" i="4"/>
  <c r="BE271" i="4" s="1"/>
  <c r="P271" i="4"/>
  <c r="R271" i="4"/>
  <c r="T271" i="4"/>
  <c r="BF271" i="4"/>
  <c r="BG271" i="4"/>
  <c r="BH271" i="4"/>
  <c r="BI271" i="4"/>
  <c r="BK271" i="4"/>
  <c r="J272" i="4"/>
  <c r="BE272" i="4" s="1"/>
  <c r="P272" i="4"/>
  <c r="R272" i="4"/>
  <c r="T272" i="4"/>
  <c r="BF272" i="4"/>
  <c r="BG272" i="4"/>
  <c r="BH272" i="4"/>
  <c r="BI272" i="4"/>
  <c r="BK272" i="4"/>
  <c r="J274" i="4"/>
  <c r="BE274" i="4" s="1"/>
  <c r="P274" i="4"/>
  <c r="R274" i="4"/>
  <c r="T274" i="4"/>
  <c r="BF274" i="4"/>
  <c r="BG274" i="4"/>
  <c r="BH274" i="4"/>
  <c r="BI274" i="4"/>
  <c r="BK274" i="4"/>
  <c r="J275" i="4"/>
  <c r="BE275" i="4" s="1"/>
  <c r="P275" i="4"/>
  <c r="R275" i="4"/>
  <c r="T275" i="4"/>
  <c r="BF275" i="4"/>
  <c r="BG275" i="4"/>
  <c r="BH275" i="4"/>
  <c r="BI275" i="4"/>
  <c r="BK275" i="4"/>
  <c r="J277" i="4"/>
  <c r="BE277" i="4" s="1"/>
  <c r="P277" i="4"/>
  <c r="R277" i="4"/>
  <c r="T277" i="4"/>
  <c r="BF277" i="4"/>
  <c r="BG277" i="4"/>
  <c r="BH277" i="4"/>
  <c r="BI277" i="4"/>
  <c r="BK277" i="4"/>
  <c r="J278" i="4"/>
  <c r="P278" i="4"/>
  <c r="R278" i="4"/>
  <c r="T278" i="4"/>
  <c r="BE278" i="4"/>
  <c r="BF278" i="4"/>
  <c r="BG278" i="4"/>
  <c r="BH278" i="4"/>
  <c r="BI278" i="4"/>
  <c r="BK278" i="4"/>
  <c r="J280" i="4"/>
  <c r="P280" i="4"/>
  <c r="R280" i="4"/>
  <c r="T280" i="4"/>
  <c r="BE280" i="4"/>
  <c r="BF280" i="4"/>
  <c r="BG280" i="4"/>
  <c r="BH280" i="4"/>
  <c r="BI280" i="4"/>
  <c r="BK280" i="4"/>
  <c r="J281" i="4"/>
  <c r="BE281" i="4" s="1"/>
  <c r="P281" i="4"/>
  <c r="R281" i="4"/>
  <c r="T281" i="4"/>
  <c r="BF281" i="4"/>
  <c r="BG281" i="4"/>
  <c r="BH281" i="4"/>
  <c r="BI281" i="4"/>
  <c r="BK281" i="4"/>
  <c r="J283" i="4"/>
  <c r="BE283" i="4" s="1"/>
  <c r="P283" i="4"/>
  <c r="R283" i="4"/>
  <c r="T283" i="4"/>
  <c r="BF283" i="4"/>
  <c r="BG283" i="4"/>
  <c r="BH283" i="4"/>
  <c r="BI283" i="4"/>
  <c r="BK283" i="4"/>
  <c r="J284" i="4"/>
  <c r="P284" i="4"/>
  <c r="R284" i="4"/>
  <c r="T284" i="4"/>
  <c r="BE284" i="4"/>
  <c r="BF284" i="4"/>
  <c r="BG284" i="4"/>
  <c r="BH284" i="4"/>
  <c r="BI284" i="4"/>
  <c r="BK284" i="4"/>
  <c r="J285" i="4"/>
  <c r="P285" i="4"/>
  <c r="R285" i="4"/>
  <c r="T285" i="4"/>
  <c r="BE285" i="4"/>
  <c r="BF285" i="4"/>
  <c r="BG285" i="4"/>
  <c r="BH285" i="4"/>
  <c r="BI285" i="4"/>
  <c r="BK285" i="4"/>
  <c r="J286" i="4"/>
  <c r="BE286" i="4" s="1"/>
  <c r="P286" i="4"/>
  <c r="R286" i="4"/>
  <c r="T286" i="4"/>
  <c r="BF286" i="4"/>
  <c r="BG286" i="4"/>
  <c r="BH286" i="4"/>
  <c r="BI286" i="4"/>
  <c r="BK286" i="4"/>
  <c r="J288" i="4"/>
  <c r="BE288" i="4" s="1"/>
  <c r="P288" i="4"/>
  <c r="R288" i="4"/>
  <c r="T288" i="4"/>
  <c r="BF288" i="4"/>
  <c r="BG288" i="4"/>
  <c r="BH288" i="4"/>
  <c r="BI288" i="4"/>
  <c r="BK288" i="4"/>
  <c r="J289" i="4"/>
  <c r="BE289" i="4" s="1"/>
  <c r="P289" i="4"/>
  <c r="R289" i="4"/>
  <c r="T289" i="4"/>
  <c r="BF289" i="4"/>
  <c r="BG289" i="4"/>
  <c r="BH289" i="4"/>
  <c r="BI289" i="4"/>
  <c r="BK289" i="4"/>
  <c r="J291" i="4"/>
  <c r="P291" i="4"/>
  <c r="R291" i="4"/>
  <c r="T291" i="4"/>
  <c r="BE291" i="4"/>
  <c r="BF291" i="4"/>
  <c r="BG291" i="4"/>
  <c r="BH291" i="4"/>
  <c r="BI291" i="4"/>
  <c r="BK291" i="4"/>
  <c r="J292" i="4"/>
  <c r="BE292" i="4" s="1"/>
  <c r="P292" i="4"/>
  <c r="R292" i="4"/>
  <c r="T292" i="4"/>
  <c r="BF292" i="4"/>
  <c r="BG292" i="4"/>
  <c r="BH292" i="4"/>
  <c r="BI292" i="4"/>
  <c r="BK292" i="4"/>
  <c r="J294" i="4"/>
  <c r="BE294" i="4" s="1"/>
  <c r="P294" i="4"/>
  <c r="R294" i="4"/>
  <c r="T294" i="4"/>
  <c r="BF294" i="4"/>
  <c r="BG294" i="4"/>
  <c r="BH294" i="4"/>
  <c r="BI294" i="4"/>
  <c r="BK294" i="4"/>
  <c r="J295" i="4"/>
  <c r="P295" i="4"/>
  <c r="R295" i="4"/>
  <c r="T295" i="4"/>
  <c r="BE295" i="4"/>
  <c r="BF295" i="4"/>
  <c r="BG295" i="4"/>
  <c r="BH295" i="4"/>
  <c r="BI295" i="4"/>
  <c r="BK295" i="4"/>
  <c r="J296" i="4"/>
  <c r="BE296" i="4" s="1"/>
  <c r="P296" i="4"/>
  <c r="R296" i="4"/>
  <c r="T296" i="4"/>
  <c r="BF296" i="4"/>
  <c r="BG296" i="4"/>
  <c r="BH296" i="4"/>
  <c r="BI296" i="4"/>
  <c r="BK296" i="4"/>
  <c r="J297" i="4"/>
  <c r="BE297" i="4" s="1"/>
  <c r="P297" i="4"/>
  <c r="R297" i="4"/>
  <c r="T297" i="4"/>
  <c r="BF297" i="4"/>
  <c r="BG297" i="4"/>
  <c r="BH297" i="4"/>
  <c r="BI297" i="4"/>
  <c r="BK297" i="4"/>
  <c r="J299" i="4"/>
  <c r="BE299" i="4" s="1"/>
  <c r="P299" i="4"/>
  <c r="R299" i="4"/>
  <c r="T299" i="4"/>
  <c r="BF299" i="4"/>
  <c r="BG299" i="4"/>
  <c r="BH299" i="4"/>
  <c r="BI299" i="4"/>
  <c r="BK299" i="4"/>
  <c r="J300" i="4"/>
  <c r="P300" i="4"/>
  <c r="R300" i="4"/>
  <c r="T300" i="4"/>
  <c r="BE300" i="4"/>
  <c r="BF300" i="4"/>
  <c r="BG300" i="4"/>
  <c r="BH300" i="4"/>
  <c r="BI300" i="4"/>
  <c r="BK300" i="4"/>
  <c r="J302" i="4"/>
  <c r="P302" i="4"/>
  <c r="R302" i="4"/>
  <c r="T302" i="4"/>
  <c r="BE302" i="4"/>
  <c r="BF302" i="4"/>
  <c r="BG302" i="4"/>
  <c r="BH302" i="4"/>
  <c r="BI302" i="4"/>
  <c r="BK302" i="4"/>
  <c r="J303" i="4"/>
  <c r="BE303" i="4" s="1"/>
  <c r="P303" i="4"/>
  <c r="R303" i="4"/>
  <c r="T303" i="4"/>
  <c r="BF303" i="4"/>
  <c r="BG303" i="4"/>
  <c r="BH303" i="4"/>
  <c r="BI303" i="4"/>
  <c r="BK303" i="4"/>
  <c r="J305" i="4"/>
  <c r="BE305" i="4" s="1"/>
  <c r="P305" i="4"/>
  <c r="R305" i="4"/>
  <c r="T305" i="4"/>
  <c r="BF305" i="4"/>
  <c r="BG305" i="4"/>
  <c r="BH305" i="4"/>
  <c r="BI305" i="4"/>
  <c r="BK305" i="4"/>
  <c r="J306" i="4"/>
  <c r="P306" i="4"/>
  <c r="R306" i="4"/>
  <c r="T306" i="4"/>
  <c r="BE306" i="4"/>
  <c r="BF306" i="4"/>
  <c r="BG306" i="4"/>
  <c r="BH306" i="4"/>
  <c r="BI306" i="4"/>
  <c r="BK306" i="4"/>
  <c r="J308" i="4"/>
  <c r="P308" i="4"/>
  <c r="R308" i="4"/>
  <c r="T308" i="4"/>
  <c r="BE308" i="4"/>
  <c r="BF308" i="4"/>
  <c r="BG308" i="4"/>
  <c r="BH308" i="4"/>
  <c r="BI308" i="4"/>
  <c r="BK308" i="4"/>
  <c r="J309" i="4"/>
  <c r="BE309" i="4" s="1"/>
  <c r="P309" i="4"/>
  <c r="R309" i="4"/>
  <c r="T309" i="4"/>
  <c r="BF309" i="4"/>
  <c r="BG309" i="4"/>
  <c r="BH309" i="4"/>
  <c r="BI309" i="4"/>
  <c r="BK309" i="4"/>
  <c r="J311" i="4"/>
  <c r="BE311" i="4" s="1"/>
  <c r="P311" i="4"/>
  <c r="R311" i="4"/>
  <c r="T311" i="4"/>
  <c r="BF311" i="4"/>
  <c r="BG311" i="4"/>
  <c r="BH311" i="4"/>
  <c r="BI311" i="4"/>
  <c r="BK311" i="4"/>
  <c r="J312" i="4"/>
  <c r="BE312" i="4" s="1"/>
  <c r="P312" i="4"/>
  <c r="R312" i="4"/>
  <c r="T312" i="4"/>
  <c r="BF312" i="4"/>
  <c r="BG312" i="4"/>
  <c r="BH312" i="4"/>
  <c r="BI312" i="4"/>
  <c r="BK312" i="4"/>
  <c r="J314" i="4"/>
  <c r="P314" i="4"/>
  <c r="R314" i="4"/>
  <c r="T314" i="4"/>
  <c r="BE314" i="4"/>
  <c r="BF314" i="4"/>
  <c r="BG314" i="4"/>
  <c r="BH314" i="4"/>
  <c r="BI314" i="4"/>
  <c r="BK314" i="4"/>
  <c r="J315" i="4"/>
  <c r="BE315" i="4" s="1"/>
  <c r="P315" i="4"/>
  <c r="R315" i="4"/>
  <c r="T315" i="4"/>
  <c r="BF315" i="4"/>
  <c r="BG315" i="4"/>
  <c r="BH315" i="4"/>
  <c r="BI315" i="4"/>
  <c r="BK315" i="4"/>
  <c r="J317" i="4"/>
  <c r="BE317" i="4" s="1"/>
  <c r="P317" i="4"/>
  <c r="R317" i="4"/>
  <c r="T317" i="4"/>
  <c r="BF317" i="4"/>
  <c r="BG317" i="4"/>
  <c r="BH317" i="4"/>
  <c r="BI317" i="4"/>
  <c r="BK317" i="4"/>
  <c r="J318" i="4"/>
  <c r="P318" i="4"/>
  <c r="R318" i="4"/>
  <c r="T318" i="4"/>
  <c r="BE318" i="4"/>
  <c r="BF318" i="4"/>
  <c r="BG318" i="4"/>
  <c r="BH318" i="4"/>
  <c r="BI318" i="4"/>
  <c r="BK318" i="4"/>
  <c r="J320" i="4"/>
  <c r="BE320" i="4" s="1"/>
  <c r="P320" i="4"/>
  <c r="R320" i="4"/>
  <c r="T320" i="4"/>
  <c r="BF320" i="4"/>
  <c r="BG320" i="4"/>
  <c r="BH320" i="4"/>
  <c r="BI320" i="4"/>
  <c r="BK320" i="4"/>
  <c r="J321" i="4"/>
  <c r="BE321" i="4" s="1"/>
  <c r="P321" i="4"/>
  <c r="R321" i="4"/>
  <c r="T321" i="4"/>
  <c r="BF321" i="4"/>
  <c r="BG321" i="4"/>
  <c r="BH321" i="4"/>
  <c r="BI321" i="4"/>
  <c r="BK321" i="4"/>
  <c r="J323" i="4"/>
  <c r="BE323" i="4" s="1"/>
  <c r="P323" i="4"/>
  <c r="R323" i="4"/>
  <c r="T323" i="4"/>
  <c r="BF323" i="4"/>
  <c r="BG323" i="4"/>
  <c r="BH323" i="4"/>
  <c r="BI323" i="4"/>
  <c r="BK323" i="4"/>
  <c r="J324" i="4"/>
  <c r="P324" i="4"/>
  <c r="R324" i="4"/>
  <c r="T324" i="4"/>
  <c r="BE324" i="4"/>
  <c r="BF324" i="4"/>
  <c r="BG324" i="4"/>
  <c r="BH324" i="4"/>
  <c r="BI324" i="4"/>
  <c r="BK324" i="4"/>
  <c r="J326" i="4"/>
  <c r="P326" i="4"/>
  <c r="R326" i="4"/>
  <c r="T326" i="4"/>
  <c r="BE326" i="4"/>
  <c r="BF326" i="4"/>
  <c r="BG326" i="4"/>
  <c r="BH326" i="4"/>
  <c r="BI326" i="4"/>
  <c r="BK326" i="4"/>
  <c r="J328" i="4"/>
  <c r="BE328" i="4" s="1"/>
  <c r="P328" i="4"/>
  <c r="R328" i="4"/>
  <c r="T328" i="4"/>
  <c r="BF328" i="4"/>
  <c r="BG328" i="4"/>
  <c r="BH328" i="4"/>
  <c r="BI328" i="4"/>
  <c r="BK328" i="4"/>
  <c r="J329" i="4"/>
  <c r="BE329" i="4" s="1"/>
  <c r="P329" i="4"/>
  <c r="R329" i="4"/>
  <c r="T329" i="4"/>
  <c r="BF329" i="4"/>
  <c r="BG329" i="4"/>
  <c r="BH329" i="4"/>
  <c r="BI329" i="4"/>
  <c r="BK329" i="4"/>
  <c r="J331" i="4"/>
  <c r="P331" i="4"/>
  <c r="R331" i="4"/>
  <c r="T331" i="4"/>
  <c r="BE331" i="4"/>
  <c r="BF331" i="4"/>
  <c r="BG331" i="4"/>
  <c r="BH331" i="4"/>
  <c r="BI331" i="4"/>
  <c r="BK331" i="4"/>
  <c r="J332" i="4"/>
  <c r="P332" i="4"/>
  <c r="R332" i="4"/>
  <c r="T332" i="4"/>
  <c r="BE332" i="4"/>
  <c r="BF332" i="4"/>
  <c r="BG332" i="4"/>
  <c r="BH332" i="4"/>
  <c r="BI332" i="4"/>
  <c r="BK332" i="4"/>
  <c r="J335" i="4"/>
  <c r="BE335" i="4" s="1"/>
  <c r="P335" i="4"/>
  <c r="R335" i="4"/>
  <c r="T335" i="4"/>
  <c r="BF335" i="4"/>
  <c r="BG335" i="4"/>
  <c r="BH335" i="4"/>
  <c r="BI335" i="4"/>
  <c r="BK335" i="4"/>
  <c r="J338" i="4"/>
  <c r="BE338" i="4" s="1"/>
  <c r="P338" i="4"/>
  <c r="R338" i="4"/>
  <c r="T338" i="4"/>
  <c r="BF338" i="4"/>
  <c r="BG338" i="4"/>
  <c r="BH338" i="4"/>
  <c r="BI338" i="4"/>
  <c r="BK338" i="4"/>
  <c r="J341" i="4"/>
  <c r="BE341" i="4" s="1"/>
  <c r="P341" i="4"/>
  <c r="R341" i="4"/>
  <c r="T341" i="4"/>
  <c r="BF341" i="4"/>
  <c r="BG341" i="4"/>
  <c r="BH341" i="4"/>
  <c r="BI341" i="4"/>
  <c r="BK341" i="4"/>
  <c r="J344" i="4"/>
  <c r="P344" i="4"/>
  <c r="R344" i="4"/>
  <c r="T344" i="4"/>
  <c r="BE344" i="4"/>
  <c r="BF344" i="4"/>
  <c r="BG344" i="4"/>
  <c r="BH344" i="4"/>
  <c r="BI344" i="4"/>
  <c r="BK344" i="4"/>
  <c r="J346" i="4"/>
  <c r="BE346" i="4" s="1"/>
  <c r="P346" i="4"/>
  <c r="R346" i="4"/>
  <c r="T346" i="4"/>
  <c r="BF346" i="4"/>
  <c r="BG346" i="4"/>
  <c r="BH346" i="4"/>
  <c r="BI346" i="4"/>
  <c r="BK346" i="4"/>
  <c r="J348" i="4"/>
  <c r="BE348" i="4" s="1"/>
  <c r="P348" i="4"/>
  <c r="R348" i="4"/>
  <c r="T348" i="4"/>
  <c r="BF348" i="4"/>
  <c r="BG348" i="4"/>
  <c r="BH348" i="4"/>
  <c r="BI348" i="4"/>
  <c r="BK348" i="4"/>
  <c r="J350" i="4"/>
  <c r="P350" i="4"/>
  <c r="R350" i="4"/>
  <c r="T350" i="4"/>
  <c r="BE350" i="4"/>
  <c r="BF350" i="4"/>
  <c r="BG350" i="4"/>
  <c r="BH350" i="4"/>
  <c r="BI350" i="4"/>
  <c r="BK350" i="4"/>
  <c r="J353" i="4"/>
  <c r="BE353" i="4" s="1"/>
  <c r="P353" i="4"/>
  <c r="R353" i="4"/>
  <c r="T353" i="4"/>
  <c r="BF353" i="4"/>
  <c r="BG353" i="4"/>
  <c r="BH353" i="4"/>
  <c r="BI353" i="4"/>
  <c r="BK353" i="4"/>
  <c r="J355" i="4"/>
  <c r="BE355" i="4" s="1"/>
  <c r="P355" i="4"/>
  <c r="R355" i="4"/>
  <c r="T355" i="4"/>
  <c r="BF355" i="4"/>
  <c r="BG355" i="4"/>
  <c r="BH355" i="4"/>
  <c r="BI355" i="4"/>
  <c r="BK355" i="4"/>
  <c r="J356" i="4"/>
  <c r="BE356" i="4" s="1"/>
  <c r="P356" i="4"/>
  <c r="R356" i="4"/>
  <c r="T356" i="4"/>
  <c r="BF356" i="4"/>
  <c r="BG356" i="4"/>
  <c r="BH356" i="4"/>
  <c r="BI356" i="4"/>
  <c r="BK356" i="4"/>
  <c r="J357" i="4"/>
  <c r="P357" i="4"/>
  <c r="R357" i="4"/>
  <c r="T357" i="4"/>
  <c r="BE357" i="4"/>
  <c r="BF357" i="4"/>
  <c r="BG357" i="4"/>
  <c r="BH357" i="4"/>
  <c r="BI357" i="4"/>
  <c r="BK357" i="4"/>
  <c r="J360" i="4"/>
  <c r="P360" i="4"/>
  <c r="R360" i="4"/>
  <c r="T360" i="4"/>
  <c r="BE360" i="4"/>
  <c r="BF360" i="4"/>
  <c r="BG360" i="4"/>
  <c r="BH360" i="4"/>
  <c r="BI360" i="4"/>
  <c r="BK360" i="4"/>
  <c r="J363" i="4"/>
  <c r="BE363" i="4" s="1"/>
  <c r="P363" i="4"/>
  <c r="R363" i="4"/>
  <c r="T363" i="4"/>
  <c r="BF363" i="4"/>
  <c r="BG363" i="4"/>
  <c r="BH363" i="4"/>
  <c r="BI363" i="4"/>
  <c r="BK363" i="4"/>
  <c r="J366" i="4"/>
  <c r="BE366" i="4" s="1"/>
  <c r="P366" i="4"/>
  <c r="R366" i="4"/>
  <c r="T366" i="4"/>
  <c r="BF366" i="4"/>
  <c r="BG366" i="4"/>
  <c r="BH366" i="4"/>
  <c r="BI366" i="4"/>
  <c r="BK366" i="4"/>
  <c r="J369" i="4"/>
  <c r="BE369" i="4" s="1"/>
  <c r="P369" i="4"/>
  <c r="R369" i="4"/>
  <c r="T369" i="4"/>
  <c r="BF369" i="4"/>
  <c r="BG369" i="4"/>
  <c r="BH369" i="4"/>
  <c r="BI369" i="4"/>
  <c r="BK369" i="4"/>
  <c r="J370" i="4"/>
  <c r="P370" i="4"/>
  <c r="R370" i="4"/>
  <c r="T370" i="4"/>
  <c r="BE370" i="4"/>
  <c r="BF370" i="4"/>
  <c r="BG370" i="4"/>
  <c r="BH370" i="4"/>
  <c r="BI370" i="4"/>
  <c r="BK370" i="4"/>
  <c r="J371" i="4"/>
  <c r="BE371" i="4" s="1"/>
  <c r="P371" i="4"/>
  <c r="R371" i="4"/>
  <c r="T371" i="4"/>
  <c r="BF371" i="4"/>
  <c r="BG371" i="4"/>
  <c r="BH371" i="4"/>
  <c r="BI371" i="4"/>
  <c r="BK371" i="4"/>
  <c r="J373" i="4"/>
  <c r="P373" i="4"/>
  <c r="R373" i="4"/>
  <c r="T373" i="4"/>
  <c r="BE373" i="4"/>
  <c r="BF373" i="4"/>
  <c r="BG373" i="4"/>
  <c r="BH373" i="4"/>
  <c r="BI373" i="4"/>
  <c r="BK373" i="4"/>
  <c r="J376" i="4"/>
  <c r="P376" i="4"/>
  <c r="R376" i="4"/>
  <c r="T376" i="4"/>
  <c r="BE376" i="4"/>
  <c r="BF376" i="4"/>
  <c r="BG376" i="4"/>
  <c r="BH376" i="4"/>
  <c r="BI376" i="4"/>
  <c r="BK376" i="4"/>
  <c r="J378" i="4"/>
  <c r="BE378" i="4" s="1"/>
  <c r="P378" i="4"/>
  <c r="R378" i="4"/>
  <c r="T378" i="4"/>
  <c r="BF378" i="4"/>
  <c r="BG378" i="4"/>
  <c r="BH378" i="4"/>
  <c r="BI378" i="4"/>
  <c r="BK378" i="4"/>
  <c r="J380" i="4"/>
  <c r="BE380" i="4" s="1"/>
  <c r="P380" i="4"/>
  <c r="R380" i="4"/>
  <c r="T380" i="4"/>
  <c r="BF380" i="4"/>
  <c r="BG380" i="4"/>
  <c r="BH380" i="4"/>
  <c r="BI380" i="4"/>
  <c r="BK380" i="4"/>
  <c r="J382" i="4"/>
  <c r="P382" i="4"/>
  <c r="R382" i="4"/>
  <c r="T382" i="4"/>
  <c r="BE382" i="4"/>
  <c r="BF382" i="4"/>
  <c r="BG382" i="4"/>
  <c r="BH382" i="4"/>
  <c r="BI382" i="4"/>
  <c r="BK382" i="4"/>
  <c r="J384" i="4"/>
  <c r="P384" i="4"/>
  <c r="R384" i="4"/>
  <c r="T384" i="4"/>
  <c r="BE384" i="4"/>
  <c r="BF384" i="4"/>
  <c r="BG384" i="4"/>
  <c r="BH384" i="4"/>
  <c r="BI384" i="4"/>
  <c r="BK384" i="4"/>
  <c r="J386" i="4"/>
  <c r="BE386" i="4" s="1"/>
  <c r="P386" i="4"/>
  <c r="R386" i="4"/>
  <c r="T386" i="4"/>
  <c r="BF386" i="4"/>
  <c r="BG386" i="4"/>
  <c r="BH386" i="4"/>
  <c r="BI386" i="4"/>
  <c r="BK386" i="4"/>
  <c r="J388" i="4"/>
  <c r="P388" i="4"/>
  <c r="R388" i="4"/>
  <c r="T388" i="4"/>
  <c r="BE388" i="4"/>
  <c r="BF388" i="4"/>
  <c r="BG388" i="4"/>
  <c r="BH388" i="4"/>
  <c r="BI388" i="4"/>
  <c r="BK388" i="4"/>
  <c r="J390" i="4"/>
  <c r="P390" i="4"/>
  <c r="R390" i="4"/>
  <c r="T390" i="4"/>
  <c r="BE390" i="4"/>
  <c r="BF390" i="4"/>
  <c r="BG390" i="4"/>
  <c r="BH390" i="4"/>
  <c r="BI390" i="4"/>
  <c r="BK390" i="4"/>
  <c r="J392" i="4"/>
  <c r="P392" i="4"/>
  <c r="R392" i="4"/>
  <c r="T392" i="4"/>
  <c r="BE392" i="4"/>
  <c r="BF392" i="4"/>
  <c r="BG392" i="4"/>
  <c r="BH392" i="4"/>
  <c r="BI392" i="4"/>
  <c r="BK392" i="4"/>
  <c r="J394" i="4"/>
  <c r="BE394" i="4" s="1"/>
  <c r="P394" i="4"/>
  <c r="R394" i="4"/>
  <c r="T394" i="4"/>
  <c r="BF394" i="4"/>
  <c r="BG394" i="4"/>
  <c r="BH394" i="4"/>
  <c r="BI394" i="4"/>
  <c r="BK394" i="4"/>
  <c r="J396" i="4"/>
  <c r="P396" i="4"/>
  <c r="R396" i="4"/>
  <c r="T396" i="4"/>
  <c r="BE396" i="4"/>
  <c r="BF396" i="4"/>
  <c r="BG396" i="4"/>
  <c r="BH396" i="4"/>
  <c r="BI396" i="4"/>
  <c r="BK396" i="4"/>
  <c r="BK190" i="4" l="1"/>
  <c r="J190" i="4" s="1"/>
  <c r="J66" i="4" s="1"/>
  <c r="T372" i="4"/>
  <c r="T253" i="4"/>
  <c r="R190" i="4"/>
  <c r="P129" i="4"/>
  <c r="R110" i="4"/>
  <c r="P91" i="4"/>
  <c r="P372" i="4"/>
  <c r="R253" i="4"/>
  <c r="BK129" i="4"/>
  <c r="BK128" i="4" s="1"/>
  <c r="J128" i="4" s="1"/>
  <c r="J63" i="4" s="1"/>
  <c r="BK91" i="4"/>
  <c r="BK90" i="4" s="1"/>
  <c r="BK253" i="4"/>
  <c r="J253" i="4" s="1"/>
  <c r="J67" i="4" s="1"/>
  <c r="P253" i="4"/>
  <c r="BK372" i="4"/>
  <c r="J372" i="4" s="1"/>
  <c r="J69" i="4" s="1"/>
  <c r="R163" i="4"/>
  <c r="T163" i="4"/>
  <c r="BK352" i="4"/>
  <c r="J352" i="4" s="1"/>
  <c r="J68" i="4" s="1"/>
  <c r="T352" i="4"/>
  <c r="BK163" i="4"/>
  <c r="J163" i="4" s="1"/>
  <c r="J65" i="4" s="1"/>
  <c r="F35" i="4"/>
  <c r="R129" i="4"/>
  <c r="R128" i="4" s="1"/>
  <c r="R352" i="4"/>
  <c r="T190" i="4"/>
  <c r="P163" i="4"/>
  <c r="T110" i="4"/>
  <c r="F34" i="4"/>
  <c r="R372" i="4"/>
  <c r="P352" i="4"/>
  <c r="P110" i="4"/>
  <c r="R91" i="4"/>
  <c r="R90" i="4" s="1"/>
  <c r="T91" i="4"/>
  <c r="F37" i="4"/>
  <c r="F36" i="4"/>
  <c r="F33" i="4"/>
  <c r="T90" i="4"/>
  <c r="T89" i="4" s="1"/>
  <c r="P128" i="4"/>
  <c r="T128" i="4"/>
  <c r="J34" i="4"/>
  <c r="J33" i="4"/>
  <c r="J91" i="4" l="1"/>
  <c r="J61" i="4" s="1"/>
  <c r="J129" i="4"/>
  <c r="J64" i="4" s="1"/>
  <c r="P90" i="4"/>
  <c r="P89" i="4"/>
  <c r="R89" i="4"/>
  <c r="BK89" i="4"/>
  <c r="J89" i="4" s="1"/>
  <c r="J90" i="4"/>
  <c r="J60" i="4" s="1"/>
  <c r="J30" i="4" l="1"/>
  <c r="J59" i="4"/>
  <c r="J39" i="4" l="1"/>
  <c r="L14" i="7"/>
  <c r="P14" i="7" s="1"/>
  <c r="J92" i="3" s="1"/>
  <c r="J35" i="3"/>
  <c r="J36" i="3"/>
  <c r="J37" i="3"/>
  <c r="E85" i="3"/>
  <c r="E87" i="3"/>
  <c r="F89" i="3"/>
  <c r="J89" i="3"/>
  <c r="F91" i="3"/>
  <c r="J91" i="3"/>
  <c r="F92" i="3"/>
  <c r="E129" i="3"/>
  <c r="E131" i="3"/>
  <c r="F133" i="3"/>
  <c r="J133" i="3"/>
  <c r="F135" i="3"/>
  <c r="J135" i="3"/>
  <c r="F136" i="3"/>
  <c r="J141" i="3"/>
  <c r="BE141" i="3" s="1"/>
  <c r="P141" i="3"/>
  <c r="R141" i="3"/>
  <c r="T141" i="3"/>
  <c r="BF141" i="3"/>
  <c r="BG141" i="3"/>
  <c r="BH141" i="3"/>
  <c r="BI141" i="3"/>
  <c r="BK141" i="3"/>
  <c r="T143" i="3"/>
  <c r="J144" i="3"/>
  <c r="P144" i="3"/>
  <c r="P143" i="3" s="1"/>
  <c r="R144" i="3"/>
  <c r="R143" i="3" s="1"/>
  <c r="T144" i="3"/>
  <c r="BE144" i="3"/>
  <c r="BF144" i="3"/>
  <c r="BG144" i="3"/>
  <c r="BH144" i="3"/>
  <c r="BI144" i="3"/>
  <c r="BK144" i="3"/>
  <c r="BK143" i="3" s="1"/>
  <c r="J143" i="3" s="1"/>
  <c r="J98" i="3" s="1"/>
  <c r="J147" i="3"/>
  <c r="BE147" i="3" s="1"/>
  <c r="P147" i="3"/>
  <c r="R147" i="3"/>
  <c r="T147" i="3"/>
  <c r="BF147" i="3"/>
  <c r="BG147" i="3"/>
  <c r="BH147" i="3"/>
  <c r="BI147" i="3"/>
  <c r="BK147" i="3"/>
  <c r="J148" i="3"/>
  <c r="BE148" i="3" s="1"/>
  <c r="P148" i="3"/>
  <c r="R148" i="3"/>
  <c r="T148" i="3"/>
  <c r="BF148" i="3"/>
  <c r="BG148" i="3"/>
  <c r="BH148" i="3"/>
  <c r="BI148" i="3"/>
  <c r="BK148" i="3"/>
  <c r="J149" i="3"/>
  <c r="BE149" i="3" s="1"/>
  <c r="P149" i="3"/>
  <c r="R149" i="3"/>
  <c r="T149" i="3"/>
  <c r="BF149" i="3"/>
  <c r="BG149" i="3"/>
  <c r="BH149" i="3"/>
  <c r="BI149" i="3"/>
  <c r="BK149" i="3"/>
  <c r="J150" i="3"/>
  <c r="BE150" i="3" s="1"/>
  <c r="P150" i="3"/>
  <c r="R150" i="3"/>
  <c r="T150" i="3"/>
  <c r="BF150" i="3"/>
  <c r="BG150" i="3"/>
  <c r="BH150" i="3"/>
  <c r="BI150" i="3"/>
  <c r="BK150" i="3"/>
  <c r="J151" i="3"/>
  <c r="BE151" i="3" s="1"/>
  <c r="P151" i="3"/>
  <c r="R151" i="3"/>
  <c r="T151" i="3"/>
  <c r="BF151" i="3"/>
  <c r="BG151" i="3"/>
  <c r="BH151" i="3"/>
  <c r="BI151" i="3"/>
  <c r="BK151" i="3"/>
  <c r="J152" i="3"/>
  <c r="BE152" i="3" s="1"/>
  <c r="P152" i="3"/>
  <c r="R152" i="3"/>
  <c r="T152" i="3"/>
  <c r="BF152" i="3"/>
  <c r="BG152" i="3"/>
  <c r="BH152" i="3"/>
  <c r="BI152" i="3"/>
  <c r="BK152" i="3"/>
  <c r="J153" i="3"/>
  <c r="P153" i="3"/>
  <c r="R153" i="3"/>
  <c r="T153" i="3"/>
  <c r="BE153" i="3"/>
  <c r="BF153" i="3"/>
  <c r="BG153" i="3"/>
  <c r="BH153" i="3"/>
  <c r="BI153" i="3"/>
  <c r="BK153" i="3"/>
  <c r="J154" i="3"/>
  <c r="BE154" i="3" s="1"/>
  <c r="P154" i="3"/>
  <c r="R154" i="3"/>
  <c r="T154" i="3"/>
  <c r="BF154" i="3"/>
  <c r="BG154" i="3"/>
  <c r="BH154" i="3"/>
  <c r="BI154" i="3"/>
  <c r="BK154" i="3"/>
  <c r="J155" i="3"/>
  <c r="BE155" i="3" s="1"/>
  <c r="P155" i="3"/>
  <c r="R155" i="3"/>
  <c r="T155" i="3"/>
  <c r="BF155" i="3"/>
  <c r="BG155" i="3"/>
  <c r="BH155" i="3"/>
  <c r="BI155" i="3"/>
  <c r="BK155" i="3"/>
  <c r="J156" i="3"/>
  <c r="BE156" i="3" s="1"/>
  <c r="P156" i="3"/>
  <c r="R156" i="3"/>
  <c r="T156" i="3"/>
  <c r="BF156" i="3"/>
  <c r="BG156" i="3"/>
  <c r="BH156" i="3"/>
  <c r="BI156" i="3"/>
  <c r="BK156" i="3"/>
  <c r="J157" i="3"/>
  <c r="P157" i="3"/>
  <c r="R157" i="3"/>
  <c r="T157" i="3"/>
  <c r="BE157" i="3"/>
  <c r="BF157" i="3"/>
  <c r="BG157" i="3"/>
  <c r="BH157" i="3"/>
  <c r="BI157" i="3"/>
  <c r="BK157" i="3"/>
  <c r="J158" i="3"/>
  <c r="P158" i="3"/>
  <c r="R158" i="3"/>
  <c r="T158" i="3"/>
  <c r="BE158" i="3"/>
  <c r="BF158" i="3"/>
  <c r="BG158" i="3"/>
  <c r="BH158" i="3"/>
  <c r="BI158" i="3"/>
  <c r="BK158" i="3"/>
  <c r="J159" i="3"/>
  <c r="BE159" i="3" s="1"/>
  <c r="P159" i="3"/>
  <c r="R159" i="3"/>
  <c r="T159" i="3"/>
  <c r="BF159" i="3"/>
  <c r="BG159" i="3"/>
  <c r="BH159" i="3"/>
  <c r="BI159" i="3"/>
  <c r="BK159" i="3"/>
  <c r="J160" i="3"/>
  <c r="BE160" i="3" s="1"/>
  <c r="P160" i="3"/>
  <c r="R160" i="3"/>
  <c r="T160" i="3"/>
  <c r="BF160" i="3"/>
  <c r="BG160" i="3"/>
  <c r="BH160" i="3"/>
  <c r="BI160" i="3"/>
  <c r="BK160" i="3"/>
  <c r="J161" i="3"/>
  <c r="BE161" i="3" s="1"/>
  <c r="P161" i="3"/>
  <c r="R161" i="3"/>
  <c r="T161" i="3"/>
  <c r="BF161" i="3"/>
  <c r="BG161" i="3"/>
  <c r="BH161" i="3"/>
  <c r="BI161" i="3"/>
  <c r="BK161" i="3"/>
  <c r="J163" i="3"/>
  <c r="BE163" i="3" s="1"/>
  <c r="P163" i="3"/>
  <c r="R163" i="3"/>
  <c r="T163" i="3"/>
  <c r="BF163" i="3"/>
  <c r="BG163" i="3"/>
  <c r="BH163" i="3"/>
  <c r="BI163" i="3"/>
  <c r="BK163" i="3"/>
  <c r="J165" i="3"/>
  <c r="BE165" i="3" s="1"/>
  <c r="P165" i="3"/>
  <c r="R165" i="3"/>
  <c r="T165" i="3"/>
  <c r="BF165" i="3"/>
  <c r="BG165" i="3"/>
  <c r="BH165" i="3"/>
  <c r="BI165" i="3"/>
  <c r="BK165" i="3"/>
  <c r="BK166" i="3"/>
  <c r="J167" i="3"/>
  <c r="BE167" i="3" s="1"/>
  <c r="P167" i="3"/>
  <c r="P166" i="3" s="1"/>
  <c r="R167" i="3"/>
  <c r="R166" i="3" s="1"/>
  <c r="T167" i="3"/>
  <c r="T166" i="3" s="1"/>
  <c r="BF167" i="3"/>
  <c r="BG167" i="3"/>
  <c r="BH167" i="3"/>
  <c r="BI167" i="3"/>
  <c r="BK167" i="3"/>
  <c r="J170" i="3"/>
  <c r="BE170" i="3" s="1"/>
  <c r="P170" i="3"/>
  <c r="R170" i="3"/>
  <c r="T170" i="3"/>
  <c r="BF170" i="3"/>
  <c r="BG170" i="3"/>
  <c r="BH170" i="3"/>
  <c r="BI170" i="3"/>
  <c r="BK170" i="3"/>
  <c r="J171" i="3"/>
  <c r="BE171" i="3" s="1"/>
  <c r="P171" i="3"/>
  <c r="R171" i="3"/>
  <c r="T171" i="3"/>
  <c r="BF171" i="3"/>
  <c r="BG171" i="3"/>
  <c r="BH171" i="3"/>
  <c r="BI171" i="3"/>
  <c r="BK171" i="3"/>
  <c r="J172" i="3"/>
  <c r="P172" i="3"/>
  <c r="R172" i="3"/>
  <c r="T172" i="3"/>
  <c r="BE172" i="3"/>
  <c r="BF172" i="3"/>
  <c r="BG172" i="3"/>
  <c r="BH172" i="3"/>
  <c r="BI172" i="3"/>
  <c r="BK172" i="3"/>
  <c r="J173" i="3"/>
  <c r="P173" i="3"/>
  <c r="R173" i="3"/>
  <c r="T173" i="3"/>
  <c r="BE173" i="3"/>
  <c r="BF173" i="3"/>
  <c r="BG173" i="3"/>
  <c r="BH173" i="3"/>
  <c r="BI173" i="3"/>
  <c r="BK173" i="3"/>
  <c r="J174" i="3"/>
  <c r="BE174" i="3" s="1"/>
  <c r="P174" i="3"/>
  <c r="R174" i="3"/>
  <c r="T174" i="3"/>
  <c r="BF174" i="3"/>
  <c r="BG174" i="3"/>
  <c r="BH174" i="3"/>
  <c r="BI174" i="3"/>
  <c r="BK174" i="3"/>
  <c r="J175" i="3"/>
  <c r="BE175" i="3" s="1"/>
  <c r="P175" i="3"/>
  <c r="R175" i="3"/>
  <c r="T175" i="3"/>
  <c r="BF175" i="3"/>
  <c r="BG175" i="3"/>
  <c r="BH175" i="3"/>
  <c r="BI175" i="3"/>
  <c r="BK175" i="3"/>
  <c r="J176" i="3"/>
  <c r="BE176" i="3" s="1"/>
  <c r="P176" i="3"/>
  <c r="R176" i="3"/>
  <c r="T176" i="3"/>
  <c r="BF176" i="3"/>
  <c r="BG176" i="3"/>
  <c r="BH176" i="3"/>
  <c r="BI176" i="3"/>
  <c r="BK176" i="3"/>
  <c r="J177" i="3"/>
  <c r="P177" i="3"/>
  <c r="R177" i="3"/>
  <c r="T177" i="3"/>
  <c r="BE177" i="3"/>
  <c r="BF177" i="3"/>
  <c r="BG177" i="3"/>
  <c r="BH177" i="3"/>
  <c r="BI177" i="3"/>
  <c r="BK177" i="3"/>
  <c r="J178" i="3"/>
  <c r="BE178" i="3" s="1"/>
  <c r="P178" i="3"/>
  <c r="R178" i="3"/>
  <c r="T178" i="3"/>
  <c r="BF178" i="3"/>
  <c r="BG178" i="3"/>
  <c r="BH178" i="3"/>
  <c r="BI178" i="3"/>
  <c r="BK178" i="3"/>
  <c r="J179" i="3"/>
  <c r="BE179" i="3" s="1"/>
  <c r="P179" i="3"/>
  <c r="R179" i="3"/>
  <c r="T179" i="3"/>
  <c r="BF179" i="3"/>
  <c r="BG179" i="3"/>
  <c r="BH179" i="3"/>
  <c r="BI179" i="3"/>
  <c r="BK179" i="3"/>
  <c r="J180" i="3"/>
  <c r="BE180" i="3" s="1"/>
  <c r="P180" i="3"/>
  <c r="R180" i="3"/>
  <c r="T180" i="3"/>
  <c r="BF180" i="3"/>
  <c r="BG180" i="3"/>
  <c r="BH180" i="3"/>
  <c r="BI180" i="3"/>
  <c r="BK180" i="3"/>
  <c r="J181" i="3"/>
  <c r="BE181" i="3" s="1"/>
  <c r="P181" i="3"/>
  <c r="R181" i="3"/>
  <c r="T181" i="3"/>
  <c r="BF181" i="3"/>
  <c r="BG181" i="3"/>
  <c r="BH181" i="3"/>
  <c r="BI181" i="3"/>
  <c r="BK181" i="3"/>
  <c r="J182" i="3"/>
  <c r="BE182" i="3" s="1"/>
  <c r="P182" i="3"/>
  <c r="R182" i="3"/>
  <c r="T182" i="3"/>
  <c r="BF182" i="3"/>
  <c r="BG182" i="3"/>
  <c r="BH182" i="3"/>
  <c r="BI182" i="3"/>
  <c r="BK182" i="3"/>
  <c r="J183" i="3"/>
  <c r="BE183" i="3" s="1"/>
  <c r="P183" i="3"/>
  <c r="R183" i="3"/>
  <c r="T183" i="3"/>
  <c r="BF183" i="3"/>
  <c r="BG183" i="3"/>
  <c r="BH183" i="3"/>
  <c r="BI183" i="3"/>
  <c r="BK183" i="3"/>
  <c r="J185" i="3"/>
  <c r="P185" i="3"/>
  <c r="R185" i="3"/>
  <c r="T185" i="3"/>
  <c r="BE185" i="3"/>
  <c r="BF185" i="3"/>
  <c r="BG185" i="3"/>
  <c r="BH185" i="3"/>
  <c r="BI185" i="3"/>
  <c r="BK185" i="3"/>
  <c r="J186" i="3"/>
  <c r="BE186" i="3" s="1"/>
  <c r="P186" i="3"/>
  <c r="R186" i="3"/>
  <c r="T186" i="3"/>
  <c r="BF186" i="3"/>
  <c r="BG186" i="3"/>
  <c r="BH186" i="3"/>
  <c r="BI186" i="3"/>
  <c r="BK186" i="3"/>
  <c r="J187" i="3"/>
  <c r="BE187" i="3" s="1"/>
  <c r="P187" i="3"/>
  <c r="R187" i="3"/>
  <c r="T187" i="3"/>
  <c r="BF187" i="3"/>
  <c r="BG187" i="3"/>
  <c r="BH187" i="3"/>
  <c r="BI187" i="3"/>
  <c r="BK187" i="3"/>
  <c r="J188" i="3"/>
  <c r="BE188" i="3" s="1"/>
  <c r="P188" i="3"/>
  <c r="R188" i="3"/>
  <c r="T188" i="3"/>
  <c r="BF188" i="3"/>
  <c r="BG188" i="3"/>
  <c r="BH188" i="3"/>
  <c r="BI188" i="3"/>
  <c r="BK188" i="3"/>
  <c r="J189" i="3"/>
  <c r="P189" i="3"/>
  <c r="R189" i="3"/>
  <c r="T189" i="3"/>
  <c r="BE189" i="3"/>
  <c r="BF189" i="3"/>
  <c r="BG189" i="3"/>
  <c r="BH189" i="3"/>
  <c r="BI189" i="3"/>
  <c r="BK189" i="3"/>
  <c r="J190" i="3"/>
  <c r="P190" i="3"/>
  <c r="R190" i="3"/>
  <c r="T190" i="3"/>
  <c r="BE190" i="3"/>
  <c r="BF190" i="3"/>
  <c r="BG190" i="3"/>
  <c r="BH190" i="3"/>
  <c r="BI190" i="3"/>
  <c r="BK190" i="3"/>
  <c r="J191" i="3"/>
  <c r="BE191" i="3" s="1"/>
  <c r="P191" i="3"/>
  <c r="R191" i="3"/>
  <c r="T191" i="3"/>
  <c r="BF191" i="3"/>
  <c r="BG191" i="3"/>
  <c r="BH191" i="3"/>
  <c r="BI191" i="3"/>
  <c r="BK191" i="3"/>
  <c r="J192" i="3"/>
  <c r="BE192" i="3" s="1"/>
  <c r="P192" i="3"/>
  <c r="R192" i="3"/>
  <c r="T192" i="3"/>
  <c r="BF192" i="3"/>
  <c r="BG192" i="3"/>
  <c r="BH192" i="3"/>
  <c r="BI192" i="3"/>
  <c r="BK192" i="3"/>
  <c r="J194" i="3"/>
  <c r="BE194" i="3" s="1"/>
  <c r="P194" i="3"/>
  <c r="R194" i="3"/>
  <c r="T194" i="3"/>
  <c r="BF194" i="3"/>
  <c r="BG194" i="3"/>
  <c r="BH194" i="3"/>
  <c r="BI194" i="3"/>
  <c r="BK194" i="3"/>
  <c r="J195" i="3"/>
  <c r="BE195" i="3" s="1"/>
  <c r="P195" i="3"/>
  <c r="R195" i="3"/>
  <c r="T195" i="3"/>
  <c r="BF195" i="3"/>
  <c r="BG195" i="3"/>
  <c r="BH195" i="3"/>
  <c r="BI195" i="3"/>
  <c r="BK195" i="3"/>
  <c r="J196" i="3"/>
  <c r="BE196" i="3" s="1"/>
  <c r="P196" i="3"/>
  <c r="R196" i="3"/>
  <c r="T196" i="3"/>
  <c r="BF196" i="3"/>
  <c r="BG196" i="3"/>
  <c r="BH196" i="3"/>
  <c r="BI196" i="3"/>
  <c r="BK196" i="3"/>
  <c r="J197" i="3"/>
  <c r="P197" i="3"/>
  <c r="R197" i="3"/>
  <c r="T197" i="3"/>
  <c r="BE197" i="3"/>
  <c r="BF197" i="3"/>
  <c r="BG197" i="3"/>
  <c r="BH197" i="3"/>
  <c r="BI197" i="3"/>
  <c r="BK197" i="3"/>
  <c r="J198" i="3"/>
  <c r="BE198" i="3" s="1"/>
  <c r="P198" i="3"/>
  <c r="R198" i="3"/>
  <c r="T198" i="3"/>
  <c r="BF198" i="3"/>
  <c r="BG198" i="3"/>
  <c r="BH198" i="3"/>
  <c r="BI198" i="3"/>
  <c r="BK198" i="3"/>
  <c r="R200" i="3"/>
  <c r="T200" i="3"/>
  <c r="J201" i="3"/>
  <c r="BE201" i="3" s="1"/>
  <c r="P201" i="3"/>
  <c r="P200" i="3" s="1"/>
  <c r="R201" i="3"/>
  <c r="T201" i="3"/>
  <c r="BF201" i="3"/>
  <c r="BG201" i="3"/>
  <c r="BH201" i="3"/>
  <c r="BI201" i="3"/>
  <c r="BK201" i="3"/>
  <c r="BK200" i="3" s="1"/>
  <c r="J203" i="3"/>
  <c r="BE203" i="3" s="1"/>
  <c r="P203" i="3"/>
  <c r="P202" i="3" s="1"/>
  <c r="R203" i="3"/>
  <c r="R202" i="3" s="1"/>
  <c r="T203" i="3"/>
  <c r="T202" i="3" s="1"/>
  <c r="BF203" i="3"/>
  <c r="BG203" i="3"/>
  <c r="BH203" i="3"/>
  <c r="BI203" i="3"/>
  <c r="BK203" i="3"/>
  <c r="BK202" i="3" s="1"/>
  <c r="J202" i="3" s="1"/>
  <c r="J107" i="3" s="1"/>
  <c r="R204" i="3"/>
  <c r="BK204" i="3"/>
  <c r="J204" i="3" s="1"/>
  <c r="J108" i="3" s="1"/>
  <c r="J205" i="3"/>
  <c r="BE205" i="3" s="1"/>
  <c r="P205" i="3"/>
  <c r="R205" i="3"/>
  <c r="T205" i="3"/>
  <c r="BF205" i="3"/>
  <c r="BG205" i="3"/>
  <c r="BH205" i="3"/>
  <c r="BI205" i="3"/>
  <c r="BK205" i="3"/>
  <c r="J206" i="3"/>
  <c r="BE206" i="3" s="1"/>
  <c r="P206" i="3"/>
  <c r="R206" i="3"/>
  <c r="T206" i="3"/>
  <c r="BF206" i="3"/>
  <c r="BG206" i="3"/>
  <c r="BH206" i="3"/>
  <c r="BI206" i="3"/>
  <c r="BK206" i="3"/>
  <c r="J208" i="3"/>
  <c r="BE208" i="3" s="1"/>
  <c r="P208" i="3"/>
  <c r="P207" i="3" s="1"/>
  <c r="R208" i="3"/>
  <c r="R207" i="3" s="1"/>
  <c r="T208" i="3"/>
  <c r="BF208" i="3"/>
  <c r="BG208" i="3"/>
  <c r="BH208" i="3"/>
  <c r="BI208" i="3"/>
  <c r="BK208" i="3"/>
  <c r="BK207" i="3" s="1"/>
  <c r="J207" i="3" s="1"/>
  <c r="J109" i="3" s="1"/>
  <c r="J209" i="3"/>
  <c r="BE209" i="3" s="1"/>
  <c r="P209" i="3"/>
  <c r="R209" i="3"/>
  <c r="T209" i="3"/>
  <c r="BF209" i="3"/>
  <c r="BG209" i="3"/>
  <c r="BH209" i="3"/>
  <c r="BI209" i="3"/>
  <c r="BK209" i="3"/>
  <c r="J210" i="3"/>
  <c r="BE210" i="3" s="1"/>
  <c r="P210" i="3"/>
  <c r="R210" i="3"/>
  <c r="T210" i="3"/>
  <c r="BF210" i="3"/>
  <c r="BG210" i="3"/>
  <c r="BH210" i="3"/>
  <c r="BI210" i="3"/>
  <c r="BK210" i="3"/>
  <c r="J212" i="3"/>
  <c r="P212" i="3"/>
  <c r="P211" i="3" s="1"/>
  <c r="R212" i="3"/>
  <c r="T212" i="3"/>
  <c r="BE212" i="3"/>
  <c r="BF212" i="3"/>
  <c r="BG212" i="3"/>
  <c r="BH212" i="3"/>
  <c r="BI212" i="3"/>
  <c r="BK212" i="3"/>
  <c r="J213" i="3"/>
  <c r="BE213" i="3" s="1"/>
  <c r="P213" i="3"/>
  <c r="R213" i="3"/>
  <c r="R211" i="3" s="1"/>
  <c r="T213" i="3"/>
  <c r="BF213" i="3"/>
  <c r="BG213" i="3"/>
  <c r="BH213" i="3"/>
  <c r="BI213" i="3"/>
  <c r="BK213" i="3"/>
  <c r="P214" i="3"/>
  <c r="J215" i="3"/>
  <c r="BE215" i="3" s="1"/>
  <c r="P215" i="3"/>
  <c r="R215" i="3"/>
  <c r="R214" i="3" s="1"/>
  <c r="T215" i="3"/>
  <c r="T214" i="3" s="1"/>
  <c r="BF215" i="3"/>
  <c r="BG215" i="3"/>
  <c r="BH215" i="3"/>
  <c r="BI215" i="3"/>
  <c r="BK215" i="3"/>
  <c r="BK214" i="3" s="1"/>
  <c r="J214" i="3" s="1"/>
  <c r="J111" i="3" s="1"/>
  <c r="J217" i="3"/>
  <c r="P217" i="3"/>
  <c r="P216" i="3" s="1"/>
  <c r="R217" i="3"/>
  <c r="T217" i="3"/>
  <c r="T216" i="3" s="1"/>
  <c r="BE217" i="3"/>
  <c r="BF217" i="3"/>
  <c r="BG217" i="3"/>
  <c r="BH217" i="3"/>
  <c r="BI217" i="3"/>
  <c r="BK217" i="3"/>
  <c r="J218" i="3"/>
  <c r="BE218" i="3" s="1"/>
  <c r="P218" i="3"/>
  <c r="R218" i="3"/>
  <c r="R216" i="3" s="1"/>
  <c r="T218" i="3"/>
  <c r="BF218" i="3"/>
  <c r="BG218" i="3"/>
  <c r="BH218" i="3"/>
  <c r="BI218" i="3"/>
  <c r="BK218" i="3"/>
  <c r="J219" i="3"/>
  <c r="J113" i="3" s="1"/>
  <c r="BK219" i="3"/>
  <c r="J220" i="3"/>
  <c r="BE220" i="3" s="1"/>
  <c r="P220" i="3"/>
  <c r="P219" i="3" s="1"/>
  <c r="R220" i="3"/>
  <c r="R219" i="3" s="1"/>
  <c r="T220" i="3"/>
  <c r="T219" i="3" s="1"/>
  <c r="BF220" i="3"/>
  <c r="BG220" i="3"/>
  <c r="BH220" i="3"/>
  <c r="BI220" i="3"/>
  <c r="BK220" i="3"/>
  <c r="J222" i="3"/>
  <c r="BE222" i="3" s="1"/>
  <c r="P222" i="3"/>
  <c r="P221" i="3" s="1"/>
  <c r="R222" i="3"/>
  <c r="R221" i="3" s="1"/>
  <c r="T222" i="3"/>
  <c r="T221" i="3" s="1"/>
  <c r="BF222" i="3"/>
  <c r="BG222" i="3"/>
  <c r="BH222" i="3"/>
  <c r="BI222" i="3"/>
  <c r="BK222" i="3"/>
  <c r="BK221" i="3" s="1"/>
  <c r="J221" i="3" s="1"/>
  <c r="J114" i="3" s="1"/>
  <c r="J224" i="3"/>
  <c r="P224" i="3"/>
  <c r="R224" i="3"/>
  <c r="T224" i="3"/>
  <c r="BE224" i="3"/>
  <c r="BF224" i="3"/>
  <c r="BG224" i="3"/>
  <c r="BH224" i="3"/>
  <c r="BI224" i="3"/>
  <c r="BK224" i="3"/>
  <c r="J225" i="3"/>
  <c r="BE225" i="3" s="1"/>
  <c r="P225" i="3"/>
  <c r="R225" i="3"/>
  <c r="T225" i="3"/>
  <c r="BF225" i="3"/>
  <c r="BG225" i="3"/>
  <c r="BH225" i="3"/>
  <c r="BI225" i="3"/>
  <c r="BK225" i="3"/>
  <c r="J226" i="3"/>
  <c r="BE226" i="3" s="1"/>
  <c r="P226" i="3"/>
  <c r="R226" i="3"/>
  <c r="R223" i="3" s="1"/>
  <c r="T226" i="3"/>
  <c r="BF226" i="3"/>
  <c r="BG226" i="3"/>
  <c r="BH226" i="3"/>
  <c r="BI226" i="3"/>
  <c r="BK226" i="3"/>
  <c r="J227" i="3"/>
  <c r="BE227" i="3" s="1"/>
  <c r="P227" i="3"/>
  <c r="R227" i="3"/>
  <c r="T227" i="3"/>
  <c r="BF227" i="3"/>
  <c r="BG227" i="3"/>
  <c r="BH227" i="3"/>
  <c r="BI227" i="3"/>
  <c r="BK227" i="3"/>
  <c r="J228" i="3"/>
  <c r="BE228" i="3" s="1"/>
  <c r="P228" i="3"/>
  <c r="R228" i="3"/>
  <c r="T228" i="3"/>
  <c r="BF228" i="3"/>
  <c r="BG228" i="3"/>
  <c r="BH228" i="3"/>
  <c r="BI228" i="3"/>
  <c r="BK228" i="3"/>
  <c r="J229" i="3"/>
  <c r="BE229" i="3" s="1"/>
  <c r="P229" i="3"/>
  <c r="R229" i="3"/>
  <c r="T229" i="3"/>
  <c r="BF229" i="3"/>
  <c r="BG229" i="3"/>
  <c r="BH229" i="3"/>
  <c r="BI229" i="3"/>
  <c r="BK229" i="3"/>
  <c r="J230" i="3"/>
  <c r="BE230" i="3" s="1"/>
  <c r="P230" i="3"/>
  <c r="R230" i="3"/>
  <c r="T230" i="3"/>
  <c r="BF230" i="3"/>
  <c r="BG230" i="3"/>
  <c r="BH230" i="3"/>
  <c r="BI230" i="3"/>
  <c r="BK230" i="3"/>
  <c r="J231" i="3"/>
  <c r="P231" i="3"/>
  <c r="R231" i="3"/>
  <c r="T231" i="3"/>
  <c r="BE231" i="3"/>
  <c r="BF231" i="3"/>
  <c r="BG231" i="3"/>
  <c r="BH231" i="3"/>
  <c r="BI231" i="3"/>
  <c r="BK231" i="3"/>
  <c r="J232" i="3"/>
  <c r="BE232" i="3" s="1"/>
  <c r="P232" i="3"/>
  <c r="R232" i="3"/>
  <c r="T232" i="3"/>
  <c r="BF232" i="3"/>
  <c r="BG232" i="3"/>
  <c r="BH232" i="3"/>
  <c r="BI232" i="3"/>
  <c r="BK232" i="3"/>
  <c r="J233" i="3"/>
  <c r="BE233" i="3" s="1"/>
  <c r="P233" i="3"/>
  <c r="R233" i="3"/>
  <c r="T233" i="3"/>
  <c r="BF233" i="3"/>
  <c r="BG233" i="3"/>
  <c r="BH233" i="3"/>
  <c r="BI233" i="3"/>
  <c r="BK233" i="3"/>
  <c r="J235" i="3"/>
  <c r="P235" i="3"/>
  <c r="P234" i="3" s="1"/>
  <c r="R235" i="3"/>
  <c r="R234" i="3" s="1"/>
  <c r="T235" i="3"/>
  <c r="T234" i="3" s="1"/>
  <c r="BE235" i="3"/>
  <c r="BF235" i="3"/>
  <c r="BG235" i="3"/>
  <c r="BH235" i="3"/>
  <c r="BI235" i="3"/>
  <c r="BK235" i="3"/>
  <c r="BK234" i="3" s="1"/>
  <c r="J234" i="3" s="1"/>
  <c r="J116" i="3" s="1"/>
  <c r="P236" i="3"/>
  <c r="R236" i="3"/>
  <c r="T236" i="3"/>
  <c r="J237" i="3"/>
  <c r="P237" i="3"/>
  <c r="R237" i="3"/>
  <c r="T237" i="3"/>
  <c r="BE237" i="3"/>
  <c r="BF237" i="3"/>
  <c r="BG237" i="3"/>
  <c r="BH237" i="3"/>
  <c r="BI237" i="3"/>
  <c r="BK237" i="3"/>
  <c r="BK236" i="3" s="1"/>
  <c r="J236" i="3" s="1"/>
  <c r="J117" i="3" s="1"/>
  <c r="J239" i="3"/>
  <c r="BE239" i="3" s="1"/>
  <c r="P239" i="3"/>
  <c r="P238" i="3" s="1"/>
  <c r="R239" i="3"/>
  <c r="R238" i="3" s="1"/>
  <c r="T239" i="3"/>
  <c r="T238" i="3" s="1"/>
  <c r="BF239" i="3"/>
  <c r="BG239" i="3"/>
  <c r="BH239" i="3"/>
  <c r="BI239" i="3"/>
  <c r="BK239" i="3"/>
  <c r="BK238" i="3" s="1"/>
  <c r="J238" i="3" s="1"/>
  <c r="J118" i="3" s="1"/>
  <c r="P240" i="3"/>
  <c r="T240" i="3"/>
  <c r="BK240" i="3"/>
  <c r="J240" i="3" s="1"/>
  <c r="J119" i="3" s="1"/>
  <c r="J241" i="3"/>
  <c r="P241" i="3"/>
  <c r="R241" i="3"/>
  <c r="R240" i="3" s="1"/>
  <c r="T241" i="3"/>
  <c r="BE241" i="3"/>
  <c r="BF241" i="3"/>
  <c r="BG241" i="3"/>
  <c r="BH241" i="3"/>
  <c r="BI241" i="3"/>
  <c r="BK241" i="3"/>
  <c r="T184" i="3" l="1"/>
  <c r="T169" i="3"/>
  <c r="T162" i="3" s="1"/>
  <c r="F34" i="3"/>
  <c r="R193" i="3"/>
  <c r="P184" i="3"/>
  <c r="P169" i="3"/>
  <c r="P162" i="3" s="1"/>
  <c r="BK193" i="3"/>
  <c r="J193" i="3" s="1"/>
  <c r="J104" i="3" s="1"/>
  <c r="P193" i="3"/>
  <c r="BK184" i="3"/>
  <c r="J184" i="3" s="1"/>
  <c r="J103" i="3" s="1"/>
  <c r="T223" i="3"/>
  <c r="T211" i="3"/>
  <c r="R184" i="3"/>
  <c r="R162" i="3" s="1"/>
  <c r="R169" i="3"/>
  <c r="T146" i="3"/>
  <c r="T140" i="3" s="1"/>
  <c r="F37" i="3"/>
  <c r="P223" i="3"/>
  <c r="BK223" i="3"/>
  <c r="J223" i="3" s="1"/>
  <c r="J115" i="3" s="1"/>
  <c r="T204" i="3"/>
  <c r="T199" i="3" s="1"/>
  <c r="BK169" i="3"/>
  <c r="J169" i="3" s="1"/>
  <c r="J102" i="3" s="1"/>
  <c r="P146" i="3"/>
  <c r="P140" i="3" s="1"/>
  <c r="R146" i="3"/>
  <c r="BK216" i="3"/>
  <c r="J216" i="3" s="1"/>
  <c r="J112" i="3" s="1"/>
  <c r="BK211" i="3"/>
  <c r="J211" i="3" s="1"/>
  <c r="J110" i="3" s="1"/>
  <c r="T207" i="3"/>
  <c r="T193" i="3"/>
  <c r="P204" i="3"/>
  <c r="P199" i="3" s="1"/>
  <c r="BK146" i="3"/>
  <c r="J146" i="3" s="1"/>
  <c r="J99" i="3" s="1"/>
  <c r="F35" i="3"/>
  <c r="F36" i="3"/>
  <c r="R140" i="3"/>
  <c r="BK199" i="3"/>
  <c r="J199" i="3" s="1"/>
  <c r="J105" i="3" s="1"/>
  <c r="J200" i="3"/>
  <c r="J106" i="3" s="1"/>
  <c r="R199" i="3"/>
  <c r="F33" i="3"/>
  <c r="J33" i="3"/>
  <c r="J34" i="3"/>
  <c r="J166" i="3"/>
  <c r="J101" i="3" s="1"/>
  <c r="J136" i="3"/>
  <c r="P139" i="3" l="1"/>
  <c r="T139" i="3"/>
  <c r="BK140" i="3"/>
  <c r="J140" i="3" s="1"/>
  <c r="J97" i="3" s="1"/>
  <c r="R139" i="3"/>
  <c r="BK162" i="3"/>
  <c r="J162" i="3" s="1"/>
  <c r="J100" i="3" s="1"/>
  <c r="BK139" i="3"/>
  <c r="J139" i="3" s="1"/>
  <c r="J30" i="3" l="1"/>
  <c r="J96" i="3"/>
  <c r="J39" i="3" l="1"/>
  <c r="L16" i="7"/>
  <c r="P17" i="7" s="1"/>
  <c r="J120" i="2" s="1"/>
  <c r="F92" i="2"/>
  <c r="J123" i="2" s="1"/>
  <c r="J35" i="2"/>
  <c r="J36" i="2"/>
  <c r="J37" i="2"/>
  <c r="E85" i="2"/>
  <c r="E87" i="2"/>
  <c r="F89" i="2"/>
  <c r="J89" i="2"/>
  <c r="F91" i="2"/>
  <c r="J91" i="2"/>
  <c r="E116" i="2"/>
  <c r="E118" i="2"/>
  <c r="F120" i="2"/>
  <c r="F122" i="2"/>
  <c r="J122" i="2"/>
  <c r="F123" i="2"/>
  <c r="J128" i="2"/>
  <c r="BE128" i="2" s="1"/>
  <c r="P128" i="2"/>
  <c r="R128" i="2"/>
  <c r="T128" i="2"/>
  <c r="T127" i="2" s="1"/>
  <c r="BF128" i="2"/>
  <c r="BG128" i="2"/>
  <c r="BH128" i="2"/>
  <c r="BI128" i="2"/>
  <c r="BK128" i="2"/>
  <c r="J129" i="2"/>
  <c r="BE129" i="2" s="1"/>
  <c r="P129" i="2"/>
  <c r="R129" i="2"/>
  <c r="T129" i="2"/>
  <c r="BF129" i="2"/>
  <c r="BG129" i="2"/>
  <c r="BH129" i="2"/>
  <c r="BI129" i="2"/>
  <c r="BK129" i="2"/>
  <c r="J130" i="2"/>
  <c r="BE130" i="2" s="1"/>
  <c r="P130" i="2"/>
  <c r="R130" i="2"/>
  <c r="T130" i="2"/>
  <c r="BF130" i="2"/>
  <c r="BG130" i="2"/>
  <c r="BH130" i="2"/>
  <c r="BI130" i="2"/>
  <c r="BK130" i="2"/>
  <c r="J131" i="2"/>
  <c r="BE131" i="2" s="1"/>
  <c r="P131" i="2"/>
  <c r="R131" i="2"/>
  <c r="T131" i="2"/>
  <c r="BF131" i="2"/>
  <c r="BG131" i="2"/>
  <c r="BH131" i="2"/>
  <c r="BI131" i="2"/>
  <c r="BK131" i="2"/>
  <c r="J132" i="2"/>
  <c r="BE132" i="2" s="1"/>
  <c r="P132" i="2"/>
  <c r="R132" i="2"/>
  <c r="T132" i="2"/>
  <c r="BF132" i="2"/>
  <c r="BG132" i="2"/>
  <c r="BH132" i="2"/>
  <c r="BI132" i="2"/>
  <c r="BK132" i="2"/>
  <c r="J133" i="2"/>
  <c r="P133" i="2"/>
  <c r="R133" i="2"/>
  <c r="T133" i="2"/>
  <c r="BE133" i="2"/>
  <c r="BF133" i="2"/>
  <c r="BG133" i="2"/>
  <c r="BH133" i="2"/>
  <c r="BI133" i="2"/>
  <c r="BK133" i="2"/>
  <c r="J134" i="2"/>
  <c r="BE134" i="2" s="1"/>
  <c r="P134" i="2"/>
  <c r="R134" i="2"/>
  <c r="T134" i="2"/>
  <c r="BF134" i="2"/>
  <c r="BG134" i="2"/>
  <c r="BH134" i="2"/>
  <c r="BI134" i="2"/>
  <c r="BK134" i="2"/>
  <c r="J135" i="2"/>
  <c r="BE135" i="2" s="1"/>
  <c r="P135" i="2"/>
  <c r="R135" i="2"/>
  <c r="T135" i="2"/>
  <c r="BF135" i="2"/>
  <c r="BG135" i="2"/>
  <c r="BH135" i="2"/>
  <c r="BI135" i="2"/>
  <c r="BK135" i="2"/>
  <c r="J136" i="2"/>
  <c r="BE136" i="2" s="1"/>
  <c r="P136" i="2"/>
  <c r="R136" i="2"/>
  <c r="T136" i="2"/>
  <c r="BF136" i="2"/>
  <c r="BG136" i="2"/>
  <c r="BH136" i="2"/>
  <c r="BI136" i="2"/>
  <c r="BK136" i="2"/>
  <c r="J137" i="2"/>
  <c r="P137" i="2"/>
  <c r="R137" i="2"/>
  <c r="T137" i="2"/>
  <c r="BE137" i="2"/>
  <c r="BF137" i="2"/>
  <c r="BG137" i="2"/>
  <c r="BH137" i="2"/>
  <c r="BI137" i="2"/>
  <c r="BK137" i="2"/>
  <c r="J138" i="2"/>
  <c r="P138" i="2"/>
  <c r="R138" i="2"/>
  <c r="T138" i="2"/>
  <c r="BE138" i="2"/>
  <c r="BF138" i="2"/>
  <c r="BG138" i="2"/>
  <c r="BH138" i="2"/>
  <c r="BI138" i="2"/>
  <c r="BK138" i="2"/>
  <c r="J139" i="2"/>
  <c r="BE139" i="2" s="1"/>
  <c r="P139" i="2"/>
  <c r="R139" i="2"/>
  <c r="T139" i="2"/>
  <c r="BF139" i="2"/>
  <c r="BG139" i="2"/>
  <c r="BH139" i="2"/>
  <c r="BI139" i="2"/>
  <c r="BK139" i="2"/>
  <c r="J140" i="2"/>
  <c r="BE140" i="2" s="1"/>
  <c r="P140" i="2"/>
  <c r="R140" i="2"/>
  <c r="T140" i="2"/>
  <c r="BF140" i="2"/>
  <c r="BG140" i="2"/>
  <c r="BH140" i="2"/>
  <c r="BI140" i="2"/>
  <c r="BK140" i="2"/>
  <c r="J141" i="2"/>
  <c r="BE141" i="2" s="1"/>
  <c r="P141" i="2"/>
  <c r="R141" i="2"/>
  <c r="T141" i="2"/>
  <c r="BF141" i="2"/>
  <c r="BG141" i="2"/>
  <c r="BH141" i="2"/>
  <c r="BI141" i="2"/>
  <c r="BK141" i="2"/>
  <c r="J142" i="2"/>
  <c r="P142" i="2"/>
  <c r="R142" i="2"/>
  <c r="T142" i="2"/>
  <c r="BE142" i="2"/>
  <c r="BF142" i="2"/>
  <c r="BG142" i="2"/>
  <c r="BH142" i="2"/>
  <c r="BI142" i="2"/>
  <c r="BK142" i="2"/>
  <c r="J144" i="2"/>
  <c r="P144" i="2"/>
  <c r="P143" i="2" s="1"/>
  <c r="R144" i="2"/>
  <c r="R143" i="2" s="1"/>
  <c r="T144" i="2"/>
  <c r="T143" i="2" s="1"/>
  <c r="BE144" i="2"/>
  <c r="BF144" i="2"/>
  <c r="BG144" i="2"/>
  <c r="BH144" i="2"/>
  <c r="BI144" i="2"/>
  <c r="BK144" i="2"/>
  <c r="BK143" i="2" s="1"/>
  <c r="J143" i="2" s="1"/>
  <c r="J98" i="2" s="1"/>
  <c r="J146" i="2"/>
  <c r="BE146" i="2" s="1"/>
  <c r="P146" i="2"/>
  <c r="R146" i="2"/>
  <c r="T146" i="2"/>
  <c r="BF146" i="2"/>
  <c r="BG146" i="2"/>
  <c r="BH146" i="2"/>
  <c r="BI146" i="2"/>
  <c r="BK146" i="2"/>
  <c r="J147" i="2"/>
  <c r="BE147" i="2" s="1"/>
  <c r="P147" i="2"/>
  <c r="R147" i="2"/>
  <c r="T147" i="2"/>
  <c r="BF147" i="2"/>
  <c r="BG147" i="2"/>
  <c r="BH147" i="2"/>
  <c r="BI147" i="2"/>
  <c r="BK147" i="2"/>
  <c r="J148" i="2"/>
  <c r="BE148" i="2" s="1"/>
  <c r="P148" i="2"/>
  <c r="R148" i="2"/>
  <c r="T148" i="2"/>
  <c r="BF148" i="2"/>
  <c r="BG148" i="2"/>
  <c r="BH148" i="2"/>
  <c r="BI148" i="2"/>
  <c r="BK148" i="2"/>
  <c r="J149" i="2"/>
  <c r="BE149" i="2" s="1"/>
  <c r="P149" i="2"/>
  <c r="P145" i="2" s="1"/>
  <c r="R149" i="2"/>
  <c r="T149" i="2"/>
  <c r="BF149" i="2"/>
  <c r="BG149" i="2"/>
  <c r="BH149" i="2"/>
  <c r="BI149" i="2"/>
  <c r="BK149" i="2"/>
  <c r="J150" i="2"/>
  <c r="P150" i="2"/>
  <c r="R150" i="2"/>
  <c r="T150" i="2"/>
  <c r="BE150" i="2"/>
  <c r="BF150" i="2"/>
  <c r="BG150" i="2"/>
  <c r="BH150" i="2"/>
  <c r="BI150" i="2"/>
  <c r="BK150" i="2"/>
  <c r="J151" i="2"/>
  <c r="BE151" i="2" s="1"/>
  <c r="P151" i="2"/>
  <c r="R151" i="2"/>
  <c r="T151" i="2"/>
  <c r="BF151" i="2"/>
  <c r="BG151" i="2"/>
  <c r="BH151" i="2"/>
  <c r="BI151" i="2"/>
  <c r="BK151" i="2"/>
  <c r="J152" i="2"/>
  <c r="BE152" i="2" s="1"/>
  <c r="P152" i="2"/>
  <c r="R152" i="2"/>
  <c r="T152" i="2"/>
  <c r="BF152" i="2"/>
  <c r="BG152" i="2"/>
  <c r="BH152" i="2"/>
  <c r="BI152" i="2"/>
  <c r="BK152" i="2"/>
  <c r="J154" i="2"/>
  <c r="BE154" i="2" s="1"/>
  <c r="P154" i="2"/>
  <c r="R154" i="2"/>
  <c r="T154" i="2"/>
  <c r="BF154" i="2"/>
  <c r="BG154" i="2"/>
  <c r="BH154" i="2"/>
  <c r="BI154" i="2"/>
  <c r="BK154" i="2"/>
  <c r="J155" i="2"/>
  <c r="P155" i="2"/>
  <c r="R155" i="2"/>
  <c r="T155" i="2"/>
  <c r="BE155" i="2"/>
  <c r="BF155" i="2"/>
  <c r="BG155" i="2"/>
  <c r="BH155" i="2"/>
  <c r="BI155" i="2"/>
  <c r="BK155" i="2"/>
  <c r="J156" i="2"/>
  <c r="P156" i="2"/>
  <c r="R156" i="2"/>
  <c r="T156" i="2"/>
  <c r="BE156" i="2"/>
  <c r="BF156" i="2"/>
  <c r="BG156" i="2"/>
  <c r="BH156" i="2"/>
  <c r="BI156" i="2"/>
  <c r="BK156" i="2"/>
  <c r="J157" i="2"/>
  <c r="BE157" i="2" s="1"/>
  <c r="P157" i="2"/>
  <c r="R157" i="2"/>
  <c r="T157" i="2"/>
  <c r="BF157" i="2"/>
  <c r="BG157" i="2"/>
  <c r="BH157" i="2"/>
  <c r="BI157" i="2"/>
  <c r="BK157" i="2"/>
  <c r="J158" i="2"/>
  <c r="BE158" i="2" s="1"/>
  <c r="P158" i="2"/>
  <c r="R158" i="2"/>
  <c r="T158" i="2"/>
  <c r="BF158" i="2"/>
  <c r="BG158" i="2"/>
  <c r="BH158" i="2"/>
  <c r="BI158" i="2"/>
  <c r="BK158" i="2"/>
  <c r="J159" i="2"/>
  <c r="BE159" i="2" s="1"/>
  <c r="P159" i="2"/>
  <c r="R159" i="2"/>
  <c r="T159" i="2"/>
  <c r="BF159" i="2"/>
  <c r="BG159" i="2"/>
  <c r="BH159" i="2"/>
  <c r="BI159" i="2"/>
  <c r="BK159" i="2"/>
  <c r="J160" i="2"/>
  <c r="P160" i="2"/>
  <c r="R160" i="2"/>
  <c r="T160" i="2"/>
  <c r="BE160" i="2"/>
  <c r="BF160" i="2"/>
  <c r="BG160" i="2"/>
  <c r="BH160" i="2"/>
  <c r="BI160" i="2"/>
  <c r="BK160" i="2"/>
  <c r="J161" i="2"/>
  <c r="P161" i="2"/>
  <c r="R161" i="2"/>
  <c r="T161" i="2"/>
  <c r="BE161" i="2"/>
  <c r="BF161" i="2"/>
  <c r="BG161" i="2"/>
  <c r="BH161" i="2"/>
  <c r="BI161" i="2"/>
  <c r="BK161" i="2"/>
  <c r="J162" i="2"/>
  <c r="BE162" i="2" s="1"/>
  <c r="P162" i="2"/>
  <c r="R162" i="2"/>
  <c r="T162" i="2"/>
  <c r="BF162" i="2"/>
  <c r="BG162" i="2"/>
  <c r="BH162" i="2"/>
  <c r="BI162" i="2"/>
  <c r="BK162" i="2"/>
  <c r="J163" i="2"/>
  <c r="BE163" i="2" s="1"/>
  <c r="P163" i="2"/>
  <c r="R163" i="2"/>
  <c r="T163" i="2"/>
  <c r="BF163" i="2"/>
  <c r="BG163" i="2"/>
  <c r="BH163" i="2"/>
  <c r="BI163" i="2"/>
  <c r="BK163" i="2"/>
  <c r="J164" i="2"/>
  <c r="P164" i="2"/>
  <c r="R164" i="2"/>
  <c r="T164" i="2"/>
  <c r="BE164" i="2"/>
  <c r="BF164" i="2"/>
  <c r="BG164" i="2"/>
  <c r="BH164" i="2"/>
  <c r="BI164" i="2"/>
  <c r="BK164" i="2"/>
  <c r="J165" i="2"/>
  <c r="P165" i="2"/>
  <c r="R165" i="2"/>
  <c r="T165" i="2"/>
  <c r="BE165" i="2"/>
  <c r="BF165" i="2"/>
  <c r="BG165" i="2"/>
  <c r="BH165" i="2"/>
  <c r="BI165" i="2"/>
  <c r="BK165" i="2"/>
  <c r="J166" i="2"/>
  <c r="BE166" i="2" s="1"/>
  <c r="P166" i="2"/>
  <c r="R166" i="2"/>
  <c r="T166" i="2"/>
  <c r="BF166" i="2"/>
  <c r="BG166" i="2"/>
  <c r="BH166" i="2"/>
  <c r="BI166" i="2"/>
  <c r="BK166" i="2"/>
  <c r="J167" i="2"/>
  <c r="BE167" i="2" s="1"/>
  <c r="P167" i="2"/>
  <c r="R167" i="2"/>
  <c r="T167" i="2"/>
  <c r="BF167" i="2"/>
  <c r="BG167" i="2"/>
  <c r="BH167" i="2"/>
  <c r="BI167" i="2"/>
  <c r="BK167" i="2"/>
  <c r="J168" i="2"/>
  <c r="BE168" i="2" s="1"/>
  <c r="P168" i="2"/>
  <c r="R168" i="2"/>
  <c r="T168" i="2"/>
  <c r="BF168" i="2"/>
  <c r="BG168" i="2"/>
  <c r="BH168" i="2"/>
  <c r="BI168" i="2"/>
  <c r="BK168" i="2"/>
  <c r="J170" i="2"/>
  <c r="P170" i="2"/>
  <c r="R170" i="2"/>
  <c r="T170" i="2"/>
  <c r="T169" i="2" s="1"/>
  <c r="BE170" i="2"/>
  <c r="BF170" i="2"/>
  <c r="BG170" i="2"/>
  <c r="BH170" i="2"/>
  <c r="BI170" i="2"/>
  <c r="BK170" i="2"/>
  <c r="J171" i="2"/>
  <c r="BE171" i="2" s="1"/>
  <c r="P171" i="2"/>
  <c r="R171" i="2"/>
  <c r="T171" i="2"/>
  <c r="BF171" i="2"/>
  <c r="BG171" i="2"/>
  <c r="BH171" i="2"/>
  <c r="BI171" i="2"/>
  <c r="BK171" i="2"/>
  <c r="J172" i="2"/>
  <c r="BE172" i="2" s="1"/>
  <c r="P172" i="2"/>
  <c r="R172" i="2"/>
  <c r="T172" i="2"/>
  <c r="BF172" i="2"/>
  <c r="BG172" i="2"/>
  <c r="BH172" i="2"/>
  <c r="BI172" i="2"/>
  <c r="BK172" i="2"/>
  <c r="J173" i="2"/>
  <c r="BE173" i="2" s="1"/>
  <c r="P173" i="2"/>
  <c r="R173" i="2"/>
  <c r="T173" i="2"/>
  <c r="BF173" i="2"/>
  <c r="BG173" i="2"/>
  <c r="BH173" i="2"/>
  <c r="BI173" i="2"/>
  <c r="BK173" i="2"/>
  <c r="J174" i="2"/>
  <c r="P174" i="2"/>
  <c r="R174" i="2"/>
  <c r="T174" i="2"/>
  <c r="BE174" i="2"/>
  <c r="BF174" i="2"/>
  <c r="BG174" i="2"/>
  <c r="BH174" i="2"/>
  <c r="BI174" i="2"/>
  <c r="BK174" i="2"/>
  <c r="J175" i="2"/>
  <c r="P175" i="2"/>
  <c r="R175" i="2"/>
  <c r="T175" i="2"/>
  <c r="BE175" i="2"/>
  <c r="BF175" i="2"/>
  <c r="BG175" i="2"/>
  <c r="BH175" i="2"/>
  <c r="BI175" i="2"/>
  <c r="BK175" i="2"/>
  <c r="J176" i="2"/>
  <c r="BE176" i="2" s="1"/>
  <c r="P176" i="2"/>
  <c r="R176" i="2"/>
  <c r="T176" i="2"/>
  <c r="BF176" i="2"/>
  <c r="BG176" i="2"/>
  <c r="BH176" i="2"/>
  <c r="BI176" i="2"/>
  <c r="BK176" i="2"/>
  <c r="J177" i="2"/>
  <c r="BE177" i="2" s="1"/>
  <c r="P177" i="2"/>
  <c r="R177" i="2"/>
  <c r="T177" i="2"/>
  <c r="BF177" i="2"/>
  <c r="BG177" i="2"/>
  <c r="BH177" i="2"/>
  <c r="BI177" i="2"/>
  <c r="BK177" i="2"/>
  <c r="J178" i="2"/>
  <c r="P178" i="2"/>
  <c r="R178" i="2"/>
  <c r="T178" i="2"/>
  <c r="BE178" i="2"/>
  <c r="BF178" i="2"/>
  <c r="BG178" i="2"/>
  <c r="BH178" i="2"/>
  <c r="BI178" i="2"/>
  <c r="BK178" i="2"/>
  <c r="J179" i="2"/>
  <c r="P179" i="2"/>
  <c r="R179" i="2"/>
  <c r="T179" i="2"/>
  <c r="BE179" i="2"/>
  <c r="BF179" i="2"/>
  <c r="BG179" i="2"/>
  <c r="BH179" i="2"/>
  <c r="BI179" i="2"/>
  <c r="BK179" i="2"/>
  <c r="J180" i="2"/>
  <c r="BE180" i="2" s="1"/>
  <c r="P180" i="2"/>
  <c r="R180" i="2"/>
  <c r="T180" i="2"/>
  <c r="BF180" i="2"/>
  <c r="BG180" i="2"/>
  <c r="BH180" i="2"/>
  <c r="BI180" i="2"/>
  <c r="BK180" i="2"/>
  <c r="J181" i="2"/>
  <c r="BE181" i="2" s="1"/>
  <c r="P181" i="2"/>
  <c r="R181" i="2"/>
  <c r="T181" i="2"/>
  <c r="BF181" i="2"/>
  <c r="BG181" i="2"/>
  <c r="BH181" i="2"/>
  <c r="BI181" i="2"/>
  <c r="BK181" i="2"/>
  <c r="J183" i="2"/>
  <c r="BE183" i="2" s="1"/>
  <c r="P183" i="2"/>
  <c r="R183" i="2"/>
  <c r="T183" i="2"/>
  <c r="BF183" i="2"/>
  <c r="BG183" i="2"/>
  <c r="BH183" i="2"/>
  <c r="BI183" i="2"/>
  <c r="BK183" i="2"/>
  <c r="J184" i="2"/>
  <c r="P184" i="2"/>
  <c r="R184" i="2"/>
  <c r="T184" i="2"/>
  <c r="BE184" i="2"/>
  <c r="BF184" i="2"/>
  <c r="BG184" i="2"/>
  <c r="BH184" i="2"/>
  <c r="BI184" i="2"/>
  <c r="BK184" i="2"/>
  <c r="J185" i="2"/>
  <c r="P185" i="2"/>
  <c r="R185" i="2"/>
  <c r="T185" i="2"/>
  <c r="BE185" i="2"/>
  <c r="BF185" i="2"/>
  <c r="BG185" i="2"/>
  <c r="BH185" i="2"/>
  <c r="BI185" i="2"/>
  <c r="BK185" i="2"/>
  <c r="J186" i="2"/>
  <c r="BE186" i="2" s="1"/>
  <c r="P186" i="2"/>
  <c r="R186" i="2"/>
  <c r="T186" i="2"/>
  <c r="BF186" i="2"/>
  <c r="BG186" i="2"/>
  <c r="BH186" i="2"/>
  <c r="BI186" i="2"/>
  <c r="BK186" i="2"/>
  <c r="J187" i="2"/>
  <c r="BE187" i="2" s="1"/>
  <c r="P187" i="2"/>
  <c r="R187" i="2"/>
  <c r="T187" i="2"/>
  <c r="BF187" i="2"/>
  <c r="BG187" i="2"/>
  <c r="BH187" i="2"/>
  <c r="BI187" i="2"/>
  <c r="BK187" i="2"/>
  <c r="J188" i="2"/>
  <c r="BE188" i="2" s="1"/>
  <c r="P188" i="2"/>
  <c r="R188" i="2"/>
  <c r="T188" i="2"/>
  <c r="BF188" i="2"/>
  <c r="BG188" i="2"/>
  <c r="BH188" i="2"/>
  <c r="BI188" i="2"/>
  <c r="BK188" i="2"/>
  <c r="J189" i="2"/>
  <c r="P189" i="2"/>
  <c r="R189" i="2"/>
  <c r="T189" i="2"/>
  <c r="BE189" i="2"/>
  <c r="BF189" i="2"/>
  <c r="BG189" i="2"/>
  <c r="BH189" i="2"/>
  <c r="BI189" i="2"/>
  <c r="BK189" i="2"/>
  <c r="J190" i="2"/>
  <c r="BE190" i="2" s="1"/>
  <c r="P190" i="2"/>
  <c r="R190" i="2"/>
  <c r="T190" i="2"/>
  <c r="BF190" i="2"/>
  <c r="BG190" i="2"/>
  <c r="BH190" i="2"/>
  <c r="BI190" i="2"/>
  <c r="BK190" i="2"/>
  <c r="J191" i="2"/>
  <c r="BE191" i="2" s="1"/>
  <c r="P191" i="2"/>
  <c r="R191" i="2"/>
  <c r="T191" i="2"/>
  <c r="BF191" i="2"/>
  <c r="BG191" i="2"/>
  <c r="BH191" i="2"/>
  <c r="BI191" i="2"/>
  <c r="BK191" i="2"/>
  <c r="J192" i="2"/>
  <c r="BE192" i="2" s="1"/>
  <c r="P192" i="2"/>
  <c r="R192" i="2"/>
  <c r="T192" i="2"/>
  <c r="BF192" i="2"/>
  <c r="BG192" i="2"/>
  <c r="BH192" i="2"/>
  <c r="BI192" i="2"/>
  <c r="BK192" i="2"/>
  <c r="J193" i="2"/>
  <c r="BE193" i="2" s="1"/>
  <c r="P193" i="2"/>
  <c r="R193" i="2"/>
  <c r="T193" i="2"/>
  <c r="BF193" i="2"/>
  <c r="BG193" i="2"/>
  <c r="BH193" i="2"/>
  <c r="BI193" i="2"/>
  <c r="BK193" i="2"/>
  <c r="J194" i="2"/>
  <c r="P194" i="2"/>
  <c r="R194" i="2"/>
  <c r="T194" i="2"/>
  <c r="BE194" i="2"/>
  <c r="BF194" i="2"/>
  <c r="BG194" i="2"/>
  <c r="BH194" i="2"/>
  <c r="BI194" i="2"/>
  <c r="BK194" i="2"/>
  <c r="J195" i="2"/>
  <c r="BE195" i="2" s="1"/>
  <c r="P195" i="2"/>
  <c r="R195" i="2"/>
  <c r="T195" i="2"/>
  <c r="BF195" i="2"/>
  <c r="BG195" i="2"/>
  <c r="BH195" i="2"/>
  <c r="BI195" i="2"/>
  <c r="BK195" i="2"/>
  <c r="J196" i="2"/>
  <c r="P196" i="2"/>
  <c r="R196" i="2"/>
  <c r="T196" i="2"/>
  <c r="BE196" i="2"/>
  <c r="BF196" i="2"/>
  <c r="BG196" i="2"/>
  <c r="BH196" i="2"/>
  <c r="BI196" i="2"/>
  <c r="BK196" i="2"/>
  <c r="J197" i="2"/>
  <c r="BE197" i="2" s="1"/>
  <c r="P197" i="2"/>
  <c r="R197" i="2"/>
  <c r="T197" i="2"/>
  <c r="BF197" i="2"/>
  <c r="BG197" i="2"/>
  <c r="BH197" i="2"/>
  <c r="BI197" i="2"/>
  <c r="BK197" i="2"/>
  <c r="J198" i="2"/>
  <c r="BE198" i="2" s="1"/>
  <c r="P198" i="2"/>
  <c r="R198" i="2"/>
  <c r="T198" i="2"/>
  <c r="BF198" i="2"/>
  <c r="BG198" i="2"/>
  <c r="BH198" i="2"/>
  <c r="BI198" i="2"/>
  <c r="BK198" i="2"/>
  <c r="J199" i="2"/>
  <c r="BE199" i="2" s="1"/>
  <c r="P199" i="2"/>
  <c r="R199" i="2"/>
  <c r="T199" i="2"/>
  <c r="BF199" i="2"/>
  <c r="BG199" i="2"/>
  <c r="BH199" i="2"/>
  <c r="BI199" i="2"/>
  <c r="BK199" i="2"/>
  <c r="J200" i="2"/>
  <c r="P200" i="2"/>
  <c r="R200" i="2"/>
  <c r="T200" i="2"/>
  <c r="BE200" i="2"/>
  <c r="BF200" i="2"/>
  <c r="BG200" i="2"/>
  <c r="BH200" i="2"/>
  <c r="BI200" i="2"/>
  <c r="BK200" i="2"/>
  <c r="J201" i="2"/>
  <c r="BE201" i="2" s="1"/>
  <c r="P201" i="2"/>
  <c r="R201" i="2"/>
  <c r="T201" i="2"/>
  <c r="BF201" i="2"/>
  <c r="BG201" i="2"/>
  <c r="BH201" i="2"/>
  <c r="BI201" i="2"/>
  <c r="BK201" i="2"/>
  <c r="J202" i="2"/>
  <c r="BE202" i="2" s="1"/>
  <c r="P202" i="2"/>
  <c r="R202" i="2"/>
  <c r="T202" i="2"/>
  <c r="BF202" i="2"/>
  <c r="BG202" i="2"/>
  <c r="BH202" i="2"/>
  <c r="BI202" i="2"/>
  <c r="BK202" i="2"/>
  <c r="J203" i="2"/>
  <c r="BE203" i="2" s="1"/>
  <c r="P203" i="2"/>
  <c r="R203" i="2"/>
  <c r="T203" i="2"/>
  <c r="BF203" i="2"/>
  <c r="BG203" i="2"/>
  <c r="BH203" i="2"/>
  <c r="BI203" i="2"/>
  <c r="BK203" i="2"/>
  <c r="J204" i="2"/>
  <c r="P204" i="2"/>
  <c r="R204" i="2"/>
  <c r="T204" i="2"/>
  <c r="BE204" i="2"/>
  <c r="BF204" i="2"/>
  <c r="BG204" i="2"/>
  <c r="BH204" i="2"/>
  <c r="BI204" i="2"/>
  <c r="BK204" i="2"/>
  <c r="J205" i="2"/>
  <c r="P205" i="2"/>
  <c r="R205" i="2"/>
  <c r="T205" i="2"/>
  <c r="BE205" i="2"/>
  <c r="BF205" i="2"/>
  <c r="BG205" i="2"/>
  <c r="BH205" i="2"/>
  <c r="BI205" i="2"/>
  <c r="BK205" i="2"/>
  <c r="J206" i="2"/>
  <c r="BE206" i="2" s="1"/>
  <c r="P206" i="2"/>
  <c r="R206" i="2"/>
  <c r="T206" i="2"/>
  <c r="BF206" i="2"/>
  <c r="BG206" i="2"/>
  <c r="BH206" i="2"/>
  <c r="BI206" i="2"/>
  <c r="BK206" i="2"/>
  <c r="J207" i="2"/>
  <c r="BE207" i="2" s="1"/>
  <c r="P207" i="2"/>
  <c r="R207" i="2"/>
  <c r="T207" i="2"/>
  <c r="BF207" i="2"/>
  <c r="BG207" i="2"/>
  <c r="BH207" i="2"/>
  <c r="BI207" i="2"/>
  <c r="BK207" i="2"/>
  <c r="J208" i="2"/>
  <c r="P208" i="2"/>
  <c r="R208" i="2"/>
  <c r="T208" i="2"/>
  <c r="BE208" i="2"/>
  <c r="BF208" i="2"/>
  <c r="BG208" i="2"/>
  <c r="BH208" i="2"/>
  <c r="BI208" i="2"/>
  <c r="BK208" i="2"/>
  <c r="J209" i="2"/>
  <c r="P209" i="2"/>
  <c r="R209" i="2"/>
  <c r="T209" i="2"/>
  <c r="BE209" i="2"/>
  <c r="BF209" i="2"/>
  <c r="BG209" i="2"/>
  <c r="BH209" i="2"/>
  <c r="BI209" i="2"/>
  <c r="BK209" i="2"/>
  <c r="J210" i="2"/>
  <c r="BE210" i="2" s="1"/>
  <c r="P210" i="2"/>
  <c r="R210" i="2"/>
  <c r="T210" i="2"/>
  <c r="BF210" i="2"/>
  <c r="BG210" i="2"/>
  <c r="BH210" i="2"/>
  <c r="BI210" i="2"/>
  <c r="BK210" i="2"/>
  <c r="J211" i="2"/>
  <c r="BE211" i="2" s="1"/>
  <c r="P211" i="2"/>
  <c r="R211" i="2"/>
  <c r="T211" i="2"/>
  <c r="BF211" i="2"/>
  <c r="BG211" i="2"/>
  <c r="BH211" i="2"/>
  <c r="BI211" i="2"/>
  <c r="BK211" i="2"/>
  <c r="J212" i="2"/>
  <c r="BE212" i="2" s="1"/>
  <c r="P212" i="2"/>
  <c r="R212" i="2"/>
  <c r="T212" i="2"/>
  <c r="BF212" i="2"/>
  <c r="BG212" i="2"/>
  <c r="BH212" i="2"/>
  <c r="BI212" i="2"/>
  <c r="BK212" i="2"/>
  <c r="J214" i="2"/>
  <c r="BE214" i="2" s="1"/>
  <c r="P214" i="2"/>
  <c r="P213" i="2" s="1"/>
  <c r="R214" i="2"/>
  <c r="R213" i="2" s="1"/>
  <c r="T214" i="2"/>
  <c r="T213" i="2" s="1"/>
  <c r="BF214" i="2"/>
  <c r="BG214" i="2"/>
  <c r="BH214" i="2"/>
  <c r="BI214" i="2"/>
  <c r="BK214" i="2"/>
  <c r="BK213" i="2" s="1"/>
  <c r="J213" i="2" s="1"/>
  <c r="J103" i="2" s="1"/>
  <c r="J216" i="2"/>
  <c r="BE216" i="2" s="1"/>
  <c r="P216" i="2"/>
  <c r="R216" i="2"/>
  <c r="T216" i="2"/>
  <c r="BF216" i="2"/>
  <c r="BG216" i="2"/>
  <c r="BH216" i="2"/>
  <c r="BI216" i="2"/>
  <c r="BK216" i="2"/>
  <c r="J217" i="2"/>
  <c r="BE217" i="2" s="1"/>
  <c r="P217" i="2"/>
  <c r="R217" i="2"/>
  <c r="T217" i="2"/>
  <c r="BF217" i="2"/>
  <c r="BG217" i="2"/>
  <c r="BH217" i="2"/>
  <c r="BI217" i="2"/>
  <c r="BK217" i="2"/>
  <c r="J218" i="2"/>
  <c r="BE218" i="2" s="1"/>
  <c r="P218" i="2"/>
  <c r="R218" i="2"/>
  <c r="T218" i="2"/>
  <c r="BF218" i="2"/>
  <c r="BG218" i="2"/>
  <c r="BH218" i="2"/>
  <c r="BI218" i="2"/>
  <c r="BK218" i="2"/>
  <c r="J219" i="2"/>
  <c r="BE219" i="2" s="1"/>
  <c r="P219" i="2"/>
  <c r="R219" i="2"/>
  <c r="T219" i="2"/>
  <c r="BF219" i="2"/>
  <c r="BG219" i="2"/>
  <c r="BH219" i="2"/>
  <c r="BI219" i="2"/>
  <c r="BK219" i="2"/>
  <c r="J220" i="2"/>
  <c r="BE220" i="2" s="1"/>
  <c r="P220" i="2"/>
  <c r="R220" i="2"/>
  <c r="T220" i="2"/>
  <c r="BF220" i="2"/>
  <c r="BG220" i="2"/>
  <c r="BH220" i="2"/>
  <c r="BI220" i="2"/>
  <c r="BK220" i="2"/>
  <c r="J221" i="2"/>
  <c r="P221" i="2"/>
  <c r="R221" i="2"/>
  <c r="T221" i="2"/>
  <c r="BE221" i="2"/>
  <c r="BF221" i="2"/>
  <c r="BG221" i="2"/>
  <c r="BH221" i="2"/>
  <c r="BI221" i="2"/>
  <c r="BK221" i="2"/>
  <c r="J222" i="2"/>
  <c r="BE222" i="2" s="1"/>
  <c r="P222" i="2"/>
  <c r="R222" i="2"/>
  <c r="T222" i="2"/>
  <c r="BF222" i="2"/>
  <c r="BG222" i="2"/>
  <c r="BH222" i="2"/>
  <c r="BI222" i="2"/>
  <c r="BK222" i="2"/>
  <c r="J223" i="2"/>
  <c r="BE223" i="2" s="1"/>
  <c r="P223" i="2"/>
  <c r="R223" i="2"/>
  <c r="T223" i="2"/>
  <c r="BF223" i="2"/>
  <c r="BG223" i="2"/>
  <c r="BH223" i="2"/>
  <c r="BI223" i="2"/>
  <c r="BK223" i="2"/>
  <c r="J224" i="2"/>
  <c r="BE224" i="2" s="1"/>
  <c r="P224" i="2"/>
  <c r="R224" i="2"/>
  <c r="T224" i="2"/>
  <c r="BF224" i="2"/>
  <c r="BG224" i="2"/>
  <c r="BH224" i="2"/>
  <c r="BI224" i="2"/>
  <c r="BK224" i="2"/>
  <c r="J225" i="2"/>
  <c r="P225" i="2"/>
  <c r="R225" i="2"/>
  <c r="T225" i="2"/>
  <c r="BE225" i="2"/>
  <c r="BF225" i="2"/>
  <c r="BG225" i="2"/>
  <c r="BH225" i="2"/>
  <c r="BI225" i="2"/>
  <c r="BK225" i="2"/>
  <c r="J226" i="2"/>
  <c r="P226" i="2"/>
  <c r="R226" i="2"/>
  <c r="T226" i="2"/>
  <c r="BE226" i="2"/>
  <c r="BF226" i="2"/>
  <c r="BG226" i="2"/>
  <c r="BH226" i="2"/>
  <c r="BI226" i="2"/>
  <c r="BK226" i="2"/>
  <c r="J227" i="2"/>
  <c r="BE227" i="2" s="1"/>
  <c r="P227" i="2"/>
  <c r="R227" i="2"/>
  <c r="T227" i="2"/>
  <c r="BF227" i="2"/>
  <c r="BG227" i="2"/>
  <c r="BH227" i="2"/>
  <c r="BI227" i="2"/>
  <c r="BK227" i="2"/>
  <c r="J228" i="2"/>
  <c r="BE228" i="2" s="1"/>
  <c r="P228" i="2"/>
  <c r="R228" i="2"/>
  <c r="T228" i="2"/>
  <c r="BF228" i="2"/>
  <c r="BG228" i="2"/>
  <c r="BH228" i="2"/>
  <c r="BI228" i="2"/>
  <c r="BK228" i="2"/>
  <c r="J229" i="2"/>
  <c r="BE229" i="2" s="1"/>
  <c r="P229" i="2"/>
  <c r="R229" i="2"/>
  <c r="T229" i="2"/>
  <c r="BF229" i="2"/>
  <c r="BG229" i="2"/>
  <c r="BH229" i="2"/>
  <c r="BI229" i="2"/>
  <c r="BK229" i="2"/>
  <c r="J231" i="2"/>
  <c r="BE231" i="2" s="1"/>
  <c r="P231" i="2"/>
  <c r="R231" i="2"/>
  <c r="T231" i="2"/>
  <c r="BF231" i="2"/>
  <c r="BG231" i="2"/>
  <c r="BH231" i="2"/>
  <c r="BI231" i="2"/>
  <c r="BK231" i="2"/>
  <c r="J232" i="2"/>
  <c r="P232" i="2"/>
  <c r="R232" i="2"/>
  <c r="T232" i="2"/>
  <c r="BE232" i="2"/>
  <c r="BF232" i="2"/>
  <c r="BG232" i="2"/>
  <c r="BH232" i="2"/>
  <c r="BI232" i="2"/>
  <c r="BK232" i="2"/>
  <c r="J233" i="2"/>
  <c r="BE233" i="2" s="1"/>
  <c r="P233" i="2"/>
  <c r="R233" i="2"/>
  <c r="T233" i="2"/>
  <c r="BF233" i="2"/>
  <c r="BG233" i="2"/>
  <c r="BH233" i="2"/>
  <c r="BI233" i="2"/>
  <c r="BK233" i="2"/>
  <c r="J234" i="2"/>
  <c r="BE234" i="2" s="1"/>
  <c r="P234" i="2"/>
  <c r="R234" i="2"/>
  <c r="T234" i="2"/>
  <c r="BF234" i="2"/>
  <c r="BG234" i="2"/>
  <c r="BH234" i="2"/>
  <c r="BI234" i="2"/>
  <c r="BK234" i="2"/>
  <c r="BK230" i="2" s="1"/>
  <c r="J230" i="2" s="1"/>
  <c r="J105" i="2" s="1"/>
  <c r="J235" i="2"/>
  <c r="BE235" i="2" s="1"/>
  <c r="P235" i="2"/>
  <c r="R235" i="2"/>
  <c r="T235" i="2"/>
  <c r="BF235" i="2"/>
  <c r="BG235" i="2"/>
  <c r="BH235" i="2"/>
  <c r="BI235" i="2"/>
  <c r="BK235" i="2"/>
  <c r="J236" i="2"/>
  <c r="P236" i="2"/>
  <c r="R236" i="2"/>
  <c r="T236" i="2"/>
  <c r="BE236" i="2"/>
  <c r="BF236" i="2"/>
  <c r="BG236" i="2"/>
  <c r="BH236" i="2"/>
  <c r="BI236" i="2"/>
  <c r="BK236" i="2"/>
  <c r="J238" i="2"/>
  <c r="P238" i="2"/>
  <c r="R238" i="2"/>
  <c r="T238" i="2"/>
  <c r="BE238" i="2"/>
  <c r="BF238" i="2"/>
  <c r="BG238" i="2"/>
  <c r="BH238" i="2"/>
  <c r="BI238" i="2"/>
  <c r="BK238" i="2"/>
  <c r="J239" i="2"/>
  <c r="BE239" i="2" s="1"/>
  <c r="P239" i="2"/>
  <c r="R239" i="2"/>
  <c r="T239" i="2"/>
  <c r="BF239" i="2"/>
  <c r="BG239" i="2"/>
  <c r="BH239" i="2"/>
  <c r="BI239" i="2"/>
  <c r="BK239" i="2"/>
  <c r="J240" i="2"/>
  <c r="BE240" i="2" s="1"/>
  <c r="P240" i="2"/>
  <c r="R240" i="2"/>
  <c r="T240" i="2"/>
  <c r="BF240" i="2"/>
  <c r="BG240" i="2"/>
  <c r="BH240" i="2"/>
  <c r="BI240" i="2"/>
  <c r="BK240" i="2"/>
  <c r="J241" i="2"/>
  <c r="BE241" i="2" s="1"/>
  <c r="P241" i="2"/>
  <c r="R241" i="2"/>
  <c r="T241" i="2"/>
  <c r="BF241" i="2"/>
  <c r="BG241" i="2"/>
  <c r="BH241" i="2"/>
  <c r="BI241" i="2"/>
  <c r="BK241" i="2"/>
  <c r="BK182" i="2" l="1"/>
  <c r="J182" i="2" s="1"/>
  <c r="J102" i="2" s="1"/>
  <c r="R145" i="2"/>
  <c r="F34" i="2"/>
  <c r="R215" i="2"/>
  <c r="P215" i="2"/>
  <c r="P127" i="2"/>
  <c r="R237" i="2"/>
  <c r="BK215" i="2"/>
  <c r="J215" i="2" s="1"/>
  <c r="J104" i="2" s="1"/>
  <c r="P169" i="2"/>
  <c r="R153" i="2"/>
  <c r="T153" i="2"/>
  <c r="BK127" i="2"/>
  <c r="J127" i="2" s="1"/>
  <c r="J97" i="2" s="1"/>
  <c r="BK169" i="2"/>
  <c r="J169" i="2" s="1"/>
  <c r="J101" i="2" s="1"/>
  <c r="P237" i="2"/>
  <c r="T237" i="2"/>
  <c r="P230" i="2"/>
  <c r="R182" i="2"/>
  <c r="T182" i="2"/>
  <c r="F37" i="2"/>
  <c r="P153" i="2"/>
  <c r="P126" i="2" s="1"/>
  <c r="T230" i="2"/>
  <c r="T215" i="2"/>
  <c r="BK237" i="2"/>
  <c r="J237" i="2" s="1"/>
  <c r="J106" i="2" s="1"/>
  <c r="R230" i="2"/>
  <c r="P182" i="2"/>
  <c r="R169" i="2"/>
  <c r="BK153" i="2"/>
  <c r="J153" i="2" s="1"/>
  <c r="J100" i="2" s="1"/>
  <c r="BK145" i="2"/>
  <c r="J145" i="2" s="1"/>
  <c r="J99" i="2" s="1"/>
  <c r="T145" i="2"/>
  <c r="T126" i="2" s="1"/>
  <c r="R127" i="2"/>
  <c r="R126" i="2" s="1"/>
  <c r="F35" i="2"/>
  <c r="F36" i="2"/>
  <c r="F33" i="2"/>
  <c r="J33" i="2"/>
  <c r="J34" i="2"/>
  <c r="J92" i="2"/>
  <c r="BK126" i="2" l="1"/>
  <c r="J126" i="2" s="1"/>
  <c r="J30" i="2"/>
  <c r="J96" i="2"/>
  <c r="J39" i="2" l="1"/>
  <c r="L13" i="7"/>
  <c r="P13" i="7" s="1"/>
  <c r="L18" i="7" s="1"/>
  <c r="I15" i="9" l="1"/>
  <c r="C16" i="9"/>
  <c r="F16" i="9" s="1"/>
  <c r="I16" i="9" l="1"/>
</calcChain>
</file>

<file path=xl/sharedStrings.xml><?xml version="1.0" encoding="utf-8"?>
<sst xmlns="http://schemas.openxmlformats.org/spreadsheetml/2006/main" count="14529" uniqueCount="2685">
  <si>
    <t>210</t>
  </si>
  <si>
    <t>4</t>
  </si>
  <si>
    <t>1</t>
  </si>
  <si>
    <t>ROZPOCET</t>
  </si>
  <si>
    <t>K</t>
  </si>
  <si>
    <t>základní</t>
  </si>
  <si>
    <t/>
  </si>
  <si>
    <t>vlastní</t>
  </si>
  <si>
    <t>ks</t>
  </si>
  <si>
    <t>svorka hromosvodová do 4šrouby křížová</t>
  </si>
  <si>
    <t>921000105</t>
  </si>
  <si>
    <t>105</t>
  </si>
  <si>
    <t>208</t>
  </si>
  <si>
    <t>svorka hromosvodová do 2šrouby připojovací</t>
  </si>
  <si>
    <t>921000104</t>
  </si>
  <si>
    <t>104</t>
  </si>
  <si>
    <t>206</t>
  </si>
  <si>
    <t>podpěra vedení na ploché střechy plast</t>
  </si>
  <si>
    <t>921000103</t>
  </si>
  <si>
    <t>103</t>
  </si>
  <si>
    <t>204</t>
  </si>
  <si>
    <t>m</t>
  </si>
  <si>
    <t>drát FeZn 8mm</t>
  </si>
  <si>
    <t>921000102</t>
  </si>
  <si>
    <t>102</t>
  </si>
  <si>
    <t>0</t>
  </si>
  <si>
    <t>D</t>
  </si>
  <si>
    <t>MATERIÁLY OCHRANA PŘED BLESKEM</t>
  </si>
  <si>
    <t>VC 21-M.g</t>
  </si>
  <si>
    <t>202</t>
  </si>
  <si>
    <t>hod</t>
  </si>
  <si>
    <t>projektová dokumentace skutečného stavu</t>
  </si>
  <si>
    <t>921000101</t>
  </si>
  <si>
    <t>101</t>
  </si>
  <si>
    <t>200</t>
  </si>
  <si>
    <t>tvarování mont.dílu</t>
  </si>
  <si>
    <t>921000100</t>
  </si>
  <si>
    <t>100</t>
  </si>
  <si>
    <t>198</t>
  </si>
  <si>
    <t>921000099</t>
  </si>
  <si>
    <t>99</t>
  </si>
  <si>
    <t>196</t>
  </si>
  <si>
    <t>921000098</t>
  </si>
  <si>
    <t>98</t>
  </si>
  <si>
    <t>194</t>
  </si>
  <si>
    <t>vyrovnání a úprava stáv.jímacího vedení v nápojných bodech</t>
  </si>
  <si>
    <t>921000097</t>
  </si>
  <si>
    <t>97</t>
  </si>
  <si>
    <t>192</t>
  </si>
  <si>
    <t>drát FeZn 8mm PU vč.montáže podpěr vedení</t>
  </si>
  <si>
    <t>921000096</t>
  </si>
  <si>
    <t>96</t>
  </si>
  <si>
    <t>MONTÁŽE OCHRANA PŘED BLESKEM</t>
  </si>
  <si>
    <t>VC 21-M.f</t>
  </si>
  <si>
    <t>190</t>
  </si>
  <si>
    <t>CYKY 3Jx2,5</t>
  </si>
  <si>
    <t>921000095</t>
  </si>
  <si>
    <t>95</t>
  </si>
  <si>
    <t>188</t>
  </si>
  <si>
    <t>zás.řaz.B IP44, bílá na povrch</t>
  </si>
  <si>
    <t>921000094</t>
  </si>
  <si>
    <t>94</t>
  </si>
  <si>
    <t>186</t>
  </si>
  <si>
    <t>spínač bílý řaz.1 IP44 na povrch</t>
  </si>
  <si>
    <t>921000093</t>
  </si>
  <si>
    <t>93</t>
  </si>
  <si>
    <t>184</t>
  </si>
  <si>
    <t>B-LED sv.36W/5400lmn/4000K IP54 přisazené</t>
  </si>
  <si>
    <t>921000092</t>
  </si>
  <si>
    <t>92</t>
  </si>
  <si>
    <t>182</t>
  </si>
  <si>
    <t>A-LED sv.25W/3800lmn/4000K IP54 přisazené</t>
  </si>
  <si>
    <t>921000091</t>
  </si>
  <si>
    <t>91</t>
  </si>
  <si>
    <t>180</t>
  </si>
  <si>
    <t>CYKY 3Jx1,5</t>
  </si>
  <si>
    <t>921000090</t>
  </si>
  <si>
    <t>90</t>
  </si>
  <si>
    <t>178</t>
  </si>
  <si>
    <t>svorka pružinová 5x2,5 IP20</t>
  </si>
  <si>
    <t>921000089</t>
  </si>
  <si>
    <t>89</t>
  </si>
  <si>
    <t>176</t>
  </si>
  <si>
    <t>krabice odbočná do 4mm2, čtverec, 81x81x38mm, na povrch IP66</t>
  </si>
  <si>
    <t>921000088</t>
  </si>
  <si>
    <t>88</t>
  </si>
  <si>
    <t>174</t>
  </si>
  <si>
    <t>trubka PVC tuhá 32/28,6mm</t>
  </si>
  <si>
    <t>921000087</t>
  </si>
  <si>
    <t>87</t>
  </si>
  <si>
    <t>172</t>
  </si>
  <si>
    <t>CYKY 4Jx16</t>
  </si>
  <si>
    <t>921000086</t>
  </si>
  <si>
    <t>86</t>
  </si>
  <si>
    <t>170</t>
  </si>
  <si>
    <t>CYKY 3Jx50+35</t>
  </si>
  <si>
    <t>921000085</t>
  </si>
  <si>
    <t>85</t>
  </si>
  <si>
    <t>168</t>
  </si>
  <si>
    <t>drátěný pozinkovaný žlab 60x60mm, vč.úchytů ke zdi, koncovek, spojek PU</t>
  </si>
  <si>
    <t>921000084</t>
  </si>
  <si>
    <t>84</t>
  </si>
  <si>
    <t>166</t>
  </si>
  <si>
    <t>PVC lišta 18x13mm pro CY 25žl/zel.</t>
  </si>
  <si>
    <t>921000083</t>
  </si>
  <si>
    <t>83</t>
  </si>
  <si>
    <t>164</t>
  </si>
  <si>
    <t>vodič CY25žl/zel.</t>
  </si>
  <si>
    <t>921000082</t>
  </si>
  <si>
    <t>82</t>
  </si>
  <si>
    <t>MATERIÁLY ÚPRAVA ELEKTROINSTALACE</t>
  </si>
  <si>
    <t>VC 21-M.e</t>
  </si>
  <si>
    <t>162</t>
  </si>
  <si>
    <t>vyvrtání otvoru do R=60mm tl.do 600mm v cih.zdi</t>
  </si>
  <si>
    <t>921000081</t>
  </si>
  <si>
    <t>81</t>
  </si>
  <si>
    <t>STAVEBNÍ PRÁCE ÚPRAVA ELEKTROINSTALACE</t>
  </si>
  <si>
    <t>D1</t>
  </si>
  <si>
    <t>160</t>
  </si>
  <si>
    <t>výchozí revizní zpráva</t>
  </si>
  <si>
    <t>921000080</t>
  </si>
  <si>
    <t>80</t>
  </si>
  <si>
    <t>158</t>
  </si>
  <si>
    <t>projektová dokumentace sk.stavu po realizaci</t>
  </si>
  <si>
    <t>921000079</t>
  </si>
  <si>
    <t>79</t>
  </si>
  <si>
    <t>156</t>
  </si>
  <si>
    <t>ukonč.kab.smršt.zákl.do 4x50 mm2</t>
  </si>
  <si>
    <t>921000078</t>
  </si>
  <si>
    <t>78</t>
  </si>
  <si>
    <t>154</t>
  </si>
  <si>
    <t>ukonč.kab.smršt.zákl.do 5x16 mm2</t>
  </si>
  <si>
    <t>921000077</t>
  </si>
  <si>
    <t>77</t>
  </si>
  <si>
    <t>152</t>
  </si>
  <si>
    <t>ukonč.kab.smršt.zákl.do 5x4 mm2</t>
  </si>
  <si>
    <t>921000076</t>
  </si>
  <si>
    <t>76</t>
  </si>
  <si>
    <t>150</t>
  </si>
  <si>
    <t>CYKY 3Jx2,5 PU</t>
  </si>
  <si>
    <t>921000075</t>
  </si>
  <si>
    <t>75</t>
  </si>
  <si>
    <t>148</t>
  </si>
  <si>
    <t>921000074</t>
  </si>
  <si>
    <t>74</t>
  </si>
  <si>
    <t>146</t>
  </si>
  <si>
    <t>921000073</t>
  </si>
  <si>
    <t>73</t>
  </si>
  <si>
    <t>144</t>
  </si>
  <si>
    <t>posuny kabeláže, posuny vypínačů před montáží rozšíření dveří ve 3.NP</t>
  </si>
  <si>
    <t>921000072</t>
  </si>
  <si>
    <t>72</t>
  </si>
  <si>
    <t>142</t>
  </si>
  <si>
    <t>demontáž svítidel a kabeláže ve 3.NP, odvoz, likvidace v prostoru nové strojovny VZD</t>
  </si>
  <si>
    <t>921000071</t>
  </si>
  <si>
    <t>71</t>
  </si>
  <si>
    <t>140</t>
  </si>
  <si>
    <t>zajištění ochrany stáv.obvodů po dobu stavby, zkouška funkčnosti po ukončení stavby ve 3.NP</t>
  </si>
  <si>
    <t>921000070</t>
  </si>
  <si>
    <t>70</t>
  </si>
  <si>
    <t>138</t>
  </si>
  <si>
    <t>vyhledání stávajících el.zařízení a el.obvodů ve 3.NP</t>
  </si>
  <si>
    <t>921000069</t>
  </si>
  <si>
    <t>69</t>
  </si>
  <si>
    <t>136</t>
  </si>
  <si>
    <t>921000068</t>
  </si>
  <si>
    <t>68</t>
  </si>
  <si>
    <t>134</t>
  </si>
  <si>
    <t>921000067</t>
  </si>
  <si>
    <t>67</t>
  </si>
  <si>
    <t>132</t>
  </si>
  <si>
    <t>CYKY 3Jx1,5 PU</t>
  </si>
  <si>
    <t>921000066</t>
  </si>
  <si>
    <t>66</t>
  </si>
  <si>
    <t>130</t>
  </si>
  <si>
    <t>921000065</t>
  </si>
  <si>
    <t>65</t>
  </si>
  <si>
    <t>128</t>
  </si>
  <si>
    <t>921000064</t>
  </si>
  <si>
    <t>64</t>
  </si>
  <si>
    <t>126</t>
  </si>
  <si>
    <t>demontáž svítidel ve 2.NP, odvoz, likvidace (6 ks)</t>
  </si>
  <si>
    <t>921000063</t>
  </si>
  <si>
    <t>63</t>
  </si>
  <si>
    <t>124</t>
  </si>
  <si>
    <t>zajištění ochrany stáv.obvodů po dobu stavby, zkouška funkčnosti po ukončení stavby ve 2.NP</t>
  </si>
  <si>
    <t>921000062</t>
  </si>
  <si>
    <t>62</t>
  </si>
  <si>
    <t>122</t>
  </si>
  <si>
    <t>vyhledání stávajících el.zařízení a el.obvodů ve 2.NP</t>
  </si>
  <si>
    <t>921000061</t>
  </si>
  <si>
    <t>61</t>
  </si>
  <si>
    <t>120</t>
  </si>
  <si>
    <t>trubka PVC tuhá 32/28,6mm PU</t>
  </si>
  <si>
    <t>921000060</t>
  </si>
  <si>
    <t>60</t>
  </si>
  <si>
    <t>118</t>
  </si>
  <si>
    <t>CYKY 4Jx16 PU</t>
  </si>
  <si>
    <t>921000059</t>
  </si>
  <si>
    <t>59</t>
  </si>
  <si>
    <t>116</t>
  </si>
  <si>
    <t>CYKY 3Jx50+35 PU</t>
  </si>
  <si>
    <t>921000058</t>
  </si>
  <si>
    <t>58</t>
  </si>
  <si>
    <t>114</t>
  </si>
  <si>
    <t>921000057</t>
  </si>
  <si>
    <t>57</t>
  </si>
  <si>
    <t>112</t>
  </si>
  <si>
    <t>připojení ke stáv.sběrnici HOP</t>
  </si>
  <si>
    <t>921000056</t>
  </si>
  <si>
    <t>56</t>
  </si>
  <si>
    <t>110</t>
  </si>
  <si>
    <t>PVC lišta 18x13mm pro CY 25žl/zel. PU</t>
  </si>
  <si>
    <t>921000055</t>
  </si>
  <si>
    <t>55</t>
  </si>
  <si>
    <t>108</t>
  </si>
  <si>
    <t>vodič CY25žl/zel. PU</t>
  </si>
  <si>
    <t>921000054</t>
  </si>
  <si>
    <t>54</t>
  </si>
  <si>
    <t>106</t>
  </si>
  <si>
    <t>vyvěšení stáv.kabeláže v kab.žlabech a nové přichycení ke stropní konstrukci m.0.14, m.015</t>
  </si>
  <si>
    <t>921000053</t>
  </si>
  <si>
    <t>53</t>
  </si>
  <si>
    <t>zajištění ochrany stáv.obvodů po dobu stavby, zkouška funkčnosti po ukončení stavby v 1.PP</t>
  </si>
  <si>
    <t>921000052</t>
  </si>
  <si>
    <t>52</t>
  </si>
  <si>
    <t>vyhledání stávajících el.zařízení a el.obvodů v 1.PP</t>
  </si>
  <si>
    <t>921000051</t>
  </si>
  <si>
    <t>51</t>
  </si>
  <si>
    <t>MONTÁŽE ÚPRAVA ELEKTROINSTALACE</t>
  </si>
  <si>
    <t>VC 21-M.d</t>
  </si>
  <si>
    <t>vývodka do P42</t>
  </si>
  <si>
    <t>921000050</t>
  </si>
  <si>
    <t>50</t>
  </si>
  <si>
    <t>sběrnice PET, ochr.přípojnice PAS 7-16</t>
  </si>
  <si>
    <t>921000049</t>
  </si>
  <si>
    <t>49</t>
  </si>
  <si>
    <t>sběrnice PEN</t>
  </si>
  <si>
    <t>921000048</t>
  </si>
  <si>
    <t>48</t>
  </si>
  <si>
    <t>jistič 50A/3/B 10kA</t>
  </si>
  <si>
    <t>921000047</t>
  </si>
  <si>
    <t>47</t>
  </si>
  <si>
    <t>jistič 100A/3/B 20kA</t>
  </si>
  <si>
    <t>921000046</t>
  </si>
  <si>
    <t>46</t>
  </si>
  <si>
    <t>odpojovač vel.10+poj.gg 2A</t>
  </si>
  <si>
    <t>921000045</t>
  </si>
  <si>
    <t>45</t>
  </si>
  <si>
    <t>elektroměr cejchovaný 3x230V polopřímý x/5A 1-sazba</t>
  </si>
  <si>
    <t>921000044</t>
  </si>
  <si>
    <t>44</t>
  </si>
  <si>
    <t>připojovací svorky 150mm2</t>
  </si>
  <si>
    <t>921000043</t>
  </si>
  <si>
    <t>43</t>
  </si>
  <si>
    <t>přípojnice 250A/10kA L1-L3</t>
  </si>
  <si>
    <t>921000042</t>
  </si>
  <si>
    <t>42</t>
  </si>
  <si>
    <t>měř.transformátory proudu 250/5 tř.05</t>
  </si>
  <si>
    <t>921000041</t>
  </si>
  <si>
    <t>41</t>
  </si>
  <si>
    <t>hl.jistič 250A/3/B 25kA</t>
  </si>
  <si>
    <t>921000040</t>
  </si>
  <si>
    <t>40</t>
  </si>
  <si>
    <t>rozvaděč skříňový OCEP IP30/IP20 š.400xv.1760xhl.300mm, kompletní rámová konstrukce</t>
  </si>
  <si>
    <t>921000039</t>
  </si>
  <si>
    <t>39</t>
  </si>
  <si>
    <t>MATERIÁLY ROZVADĚČ RMS1.PP</t>
  </si>
  <si>
    <t>VC 21-M.c</t>
  </si>
  <si>
    <t>921000038</t>
  </si>
  <si>
    <t>38</t>
  </si>
  <si>
    <t>projektová dokumentace skutečného stavu po realizaci</t>
  </si>
  <si>
    <t>921000037</t>
  </si>
  <si>
    <t>37</t>
  </si>
  <si>
    <t>921000036</t>
  </si>
  <si>
    <t>36</t>
  </si>
  <si>
    <t>921000035</t>
  </si>
  <si>
    <t>35</t>
  </si>
  <si>
    <t>921000034</t>
  </si>
  <si>
    <t>34</t>
  </si>
  <si>
    <t>921000033</t>
  </si>
  <si>
    <t>33</t>
  </si>
  <si>
    <t>921000032</t>
  </si>
  <si>
    <t>32</t>
  </si>
  <si>
    <t>propojení ovládacích a pomocných obvodů</t>
  </si>
  <si>
    <t>921000031</t>
  </si>
  <si>
    <t>31</t>
  </si>
  <si>
    <t>921000030</t>
  </si>
  <si>
    <t>30</t>
  </si>
  <si>
    <t>921000029</t>
  </si>
  <si>
    <t>29</t>
  </si>
  <si>
    <t>921000028</t>
  </si>
  <si>
    <t>28</t>
  </si>
  <si>
    <t>921000027</t>
  </si>
  <si>
    <t>27</t>
  </si>
  <si>
    <t>921000026</t>
  </si>
  <si>
    <t>26</t>
  </si>
  <si>
    <t>921000025</t>
  </si>
  <si>
    <t>25</t>
  </si>
  <si>
    <t>921000024</t>
  </si>
  <si>
    <t>24</t>
  </si>
  <si>
    <t>MONTÁŽE ROZVADĚČ RM1.PP</t>
  </si>
  <si>
    <t>VC 7-32</t>
  </si>
  <si>
    <t>požární ucpávka vrstvená</t>
  </si>
  <si>
    <t>921000023</t>
  </si>
  <si>
    <t>23</t>
  </si>
  <si>
    <t>CYKY 5Jx1,5</t>
  </si>
  <si>
    <t>921000022</t>
  </si>
  <si>
    <t>22</t>
  </si>
  <si>
    <t>drátěný pozinkovaný žlab 100x60mm, vč.úchytů ke zdi, koncovek, spojek</t>
  </si>
  <si>
    <t>921000021</t>
  </si>
  <si>
    <t>21</t>
  </si>
  <si>
    <t>kabelová spojka SVCZ-3,5S 150-240/35-150</t>
  </si>
  <si>
    <t>921000020</t>
  </si>
  <si>
    <t>20</t>
  </si>
  <si>
    <t>CYKY 3x150+70</t>
  </si>
  <si>
    <t>921000019</t>
  </si>
  <si>
    <t>19</t>
  </si>
  <si>
    <t>pojistka PN2 gG 350A</t>
  </si>
  <si>
    <t>921000018</t>
  </si>
  <si>
    <t>18</t>
  </si>
  <si>
    <t>odpojovač 3xFD2/31/LW 400A</t>
  </si>
  <si>
    <t>921000017</t>
  </si>
  <si>
    <t>17</t>
  </si>
  <si>
    <t>MATERIÁLY KABELOVÁ PŘÍPOJKA NN</t>
  </si>
  <si>
    <t>VC 21-M.b</t>
  </si>
  <si>
    <t>vyvrtání otvoru do R=60mm tl.do 600mm v cih.zdi, vč.technické přípravy ve složitém prostoru</t>
  </si>
  <si>
    <t>921000016</t>
  </si>
  <si>
    <t>16</t>
  </si>
  <si>
    <t>STAVEBNÍ PRÁCE KABELOVÁ PŘÍPOJKA NN</t>
  </si>
  <si>
    <t>VC C801-3</t>
  </si>
  <si>
    <t>921000015</t>
  </si>
  <si>
    <t>15</t>
  </si>
  <si>
    <t>921000014</t>
  </si>
  <si>
    <t>14</t>
  </si>
  <si>
    <t>921000013</t>
  </si>
  <si>
    <t>13</t>
  </si>
  <si>
    <t>ukonč.kab.smršt.zákl.do 4x150 mm2 (v rozvaděčích)</t>
  </si>
  <si>
    <t>921000012</t>
  </si>
  <si>
    <t>12</t>
  </si>
  <si>
    <t>921000011</t>
  </si>
  <si>
    <t>11</t>
  </si>
  <si>
    <t>CYKY 5Jx1,5 PU</t>
  </si>
  <si>
    <t>921000010</t>
  </si>
  <si>
    <t>10</t>
  </si>
  <si>
    <t>drátěný pozinkovaný žlab 100x60mm, vč.úchytů ke zdi, koncovek, spojek PU</t>
  </si>
  <si>
    <t>921000009</t>
  </si>
  <si>
    <t>9</t>
  </si>
  <si>
    <t>921000008</t>
  </si>
  <si>
    <t>8</t>
  </si>
  <si>
    <t>CYKY 3x150+70 PU</t>
  </si>
  <si>
    <t>921000007</t>
  </si>
  <si>
    <t>7</t>
  </si>
  <si>
    <t>úprava masky HR2, 3.pole</t>
  </si>
  <si>
    <t>921000006</t>
  </si>
  <si>
    <t>6</t>
  </si>
  <si>
    <t>921000005</t>
  </si>
  <si>
    <t>5</t>
  </si>
  <si>
    <t>montáž odpojovače 3xFD2/31/LW 400A</t>
  </si>
  <si>
    <t>921000004</t>
  </si>
  <si>
    <t>demontáž odpojovače 160A ve 3.poli HR2</t>
  </si>
  <si>
    <t>921000003</t>
  </si>
  <si>
    <t>3</t>
  </si>
  <si>
    <t>zajištění ochrany stáv.obvodů po dobu stavby, zkouška funkčnosti po ukončení stavby</t>
  </si>
  <si>
    <t>921000002</t>
  </si>
  <si>
    <t>2</t>
  </si>
  <si>
    <t>vyhledání stávajících el.zařízení v HR2, 3.pole</t>
  </si>
  <si>
    <t>921000001</t>
  </si>
  <si>
    <t>MONTÁŽE KABELOVÁ PŘÍPOJKA NN</t>
  </si>
  <si>
    <t>VC 21-M.a</t>
  </si>
  <si>
    <t>-1</t>
  </si>
  <si>
    <t>Náklady soupisu celkem</t>
  </si>
  <si>
    <t>Suť Celkem [t]</t>
  </si>
  <si>
    <t>J. suť [t]</t>
  </si>
  <si>
    <t>Hmotnost celkem [t]</t>
  </si>
  <si>
    <t>J. hmotnost [t]</t>
  </si>
  <si>
    <t>Nh celkem [h]</t>
  </si>
  <si>
    <t>J. Nh [h]</t>
  </si>
  <si>
    <t>DPH</t>
  </si>
  <si>
    <t>Cenová soustava</t>
  </si>
  <si>
    <t>Cena celkem [CZK]</t>
  </si>
  <si>
    <t>J.cena [CZK]</t>
  </si>
  <si>
    <t>Množství</t>
  </si>
  <si>
    <t>MJ</t>
  </si>
  <si>
    <t>Popis</t>
  </si>
  <si>
    <t>Kód</t>
  </si>
  <si>
    <t>Typ</t>
  </si>
  <si>
    <t>PČ</t>
  </si>
  <si>
    <t>Zpracovatel:</t>
  </si>
  <si>
    <t>Uchazeč:</t>
  </si>
  <si>
    <t>Projektant:</t>
  </si>
  <si>
    <t>Zadavatel:</t>
  </si>
  <si>
    <t>Datum:</t>
  </si>
  <si>
    <t>Místo:</t>
  </si>
  <si>
    <t>Objekt:</t>
  </si>
  <si>
    <t>Stavba:</t>
  </si>
  <si>
    <t>SOUPIS PRACÍ</t>
  </si>
  <si>
    <t>VC 21-M.g - MATERIÁLY OCHRANA PŘED BLESKEM</t>
  </si>
  <si>
    <t>VC 21-M.f - MONTÁŽE OCHRANA PŘED BLESKEM</t>
  </si>
  <si>
    <t>VC 21-M.e - MATERIÁLY ÚPRAVA ELEKTROINSTALACE</t>
  </si>
  <si>
    <t>D1 - STAVEBNÍ PRÁCE ÚPRAVA ELEKTROINSTALACE</t>
  </si>
  <si>
    <t>VC 21-M.d - MONTÁŽE ÚPRAVA ELEKTROINSTALACE</t>
  </si>
  <si>
    <t>VC 21-M.c - MATERIÁLY ROZVADĚČ RMS1.PP</t>
  </si>
  <si>
    <t>VC 7-32 - MONTÁŽE ROZVADĚČ RM1.PP</t>
  </si>
  <si>
    <t>VC 21-M.b - MATERIÁLY KABELOVÁ PŘÍPOJKA NN</t>
  </si>
  <si>
    <t>VC C801-3 - STAVEBNÍ PRÁCE KABELOVÁ PŘÍPOJKA NN</t>
  </si>
  <si>
    <t>VC 21-M.a - MONTÁŽE KABELOVÁ PŘÍPOJKA NN</t>
  </si>
  <si>
    <t>Náklady ze soupisu prací</t>
  </si>
  <si>
    <t>Kód dílu - Popis</t>
  </si>
  <si>
    <t>REKAPITULACE ČLENĚNÍ SOUPISU PRACÍ</t>
  </si>
  <si>
    <t>Razítko</t>
  </si>
  <si>
    <t>Datum a podpis:</t>
  </si>
  <si>
    <t>Uchazeč</t>
  </si>
  <si>
    <t>Objednavatel</t>
  </si>
  <si>
    <t>Zpracovatel</t>
  </si>
  <si>
    <t>Projektant</t>
  </si>
  <si>
    <t>CZK</t>
  </si>
  <si>
    <t>v</t>
  </si>
  <si>
    <t>Cena s DPH</t>
  </si>
  <si>
    <t>nulová</t>
  </si>
  <si>
    <t>sníž. přenesená</t>
  </si>
  <si>
    <t>zákl. přenesená</t>
  </si>
  <si>
    <t>snížená</t>
  </si>
  <si>
    <t>Výše daně</t>
  </si>
  <si>
    <t>Sazba daně</t>
  </si>
  <si>
    <t>Základ daně</t>
  </si>
  <si>
    <t>Cena bez DPH</t>
  </si>
  <si>
    <t>Poznámka:</t>
  </si>
  <si>
    <t>DIČ:</t>
  </si>
  <si>
    <t>IČ:</t>
  </si>
  <si>
    <t>CZ15036499</t>
  </si>
  <si>
    <t>K I P spol. s r. o.</t>
  </si>
  <si>
    <t>15036499</t>
  </si>
  <si>
    <t>Pardubický kraj,Komenského n.125,532 11 Pardubice</t>
  </si>
  <si>
    <t>Litomyšl</t>
  </si>
  <si>
    <t>CC-CZ:</t>
  </si>
  <si>
    <t>KSO:</t>
  </si>
  <si>
    <t>D.1.4.1 - SILNOPROUDÁ ELEKTROTECHNIKA</t>
  </si>
  <si>
    <t>False</t>
  </si>
  <si>
    <t>v ---  níže se nacházejí doplnkové a pomocné údaje k sestavám  --- v</t>
  </si>
  <si>
    <t>KRYCÍ LIST SOUPISU PRACÍ</t>
  </si>
  <si>
    <t>{b6c4d5d0-d58d-40b1-a515-4810163e6251}</t>
  </si>
  <si>
    <t>P</t>
  </si>
  <si>
    <t>Poznámka k položce:_x000D_
Poznámka k položce: Do podružného materiálu patří drobné položky dle elektromontážního ceníku M21. Patří sem zejména vývodky, spojky, spony, hmoždinky,kabelové oka, štítky, šrouby apod.</t>
  </si>
  <si>
    <t>Podružný materiál</t>
  </si>
  <si>
    <t>Pol67</t>
  </si>
  <si>
    <t>PODRUŽNÝ MATERIÁL</t>
  </si>
  <si>
    <t>D22</t>
  </si>
  <si>
    <t>Revizní technik</t>
  </si>
  <si>
    <t>Pol66</t>
  </si>
  <si>
    <t>PROVEDENÍ REVIZNÍCH ZKOUŠEK, DLE CSN 331500</t>
  </si>
  <si>
    <t>D21</t>
  </si>
  <si>
    <t>zapojovani a zkouskach</t>
  </si>
  <si>
    <t>Pol65</t>
  </si>
  <si>
    <t>SPOLUPRACE S DODAVATELEM PRI</t>
  </si>
  <si>
    <t>D20</t>
  </si>
  <si>
    <t>S ostatnimi profesemi</t>
  </si>
  <si>
    <t>Pol64</t>
  </si>
  <si>
    <t>KOORDINACE POSTUPU PRACI</t>
  </si>
  <si>
    <t>D19</t>
  </si>
  <si>
    <t>Vytvoření manuálu řídícího systému</t>
  </si>
  <si>
    <t>Pol63</t>
  </si>
  <si>
    <t>Projekt skutečného stavu</t>
  </si>
  <si>
    <t>Pol62</t>
  </si>
  <si>
    <t>Demontáž stávající regulace MaR</t>
  </si>
  <si>
    <t>Pol61</t>
  </si>
  <si>
    <t>Zauceni obsluhy</t>
  </si>
  <si>
    <t>Pol60</t>
  </si>
  <si>
    <t>Zkusebni provoz</t>
  </si>
  <si>
    <t>Pol59</t>
  </si>
  <si>
    <t>Priprava ke komplexni zkousce</t>
  </si>
  <si>
    <t>Pol58</t>
  </si>
  <si>
    <t>Pospojování</t>
  </si>
  <si>
    <t>Pol57</t>
  </si>
  <si>
    <t>Zabezpečení pracoviště</t>
  </si>
  <si>
    <t>Pol56</t>
  </si>
  <si>
    <t>Montáž - zapojení polních přístrojů</t>
  </si>
  <si>
    <t>Pol55</t>
  </si>
  <si>
    <t>Montáž - napojení na rozv.VZT,</t>
  </si>
  <si>
    <t>Pol54</t>
  </si>
  <si>
    <t>HODINOVÉ ZŮČTOVACÍ SAZBY</t>
  </si>
  <si>
    <t>D18</t>
  </si>
  <si>
    <t>montáž</t>
  </si>
  <si>
    <t>Pol53</t>
  </si>
  <si>
    <t>MONTÁŽNÍ PLOŠINA do 15m</t>
  </si>
  <si>
    <t>D17</t>
  </si>
  <si>
    <t>Požární ucpávka 0,3m2</t>
  </si>
  <si>
    <t>Pol52</t>
  </si>
  <si>
    <t>POŽÁRNÍ UCPÁVKY</t>
  </si>
  <si>
    <t>D16</t>
  </si>
  <si>
    <t>62/50 S víkem</t>
  </si>
  <si>
    <t>Pol51</t>
  </si>
  <si>
    <t>40/20 S víkem</t>
  </si>
  <si>
    <t>Pol50</t>
  </si>
  <si>
    <t>KABELOVÝ ŽLAB MARS/MERKUR VČETNĚ DÍLŮ A PŘÍSLUŠENSTVÍ (BEZ PŘEPÁŽEK)</t>
  </si>
  <si>
    <t>D15</t>
  </si>
  <si>
    <t>1220 d 20   mm, pevně</t>
  </si>
  <si>
    <t>Pol49</t>
  </si>
  <si>
    <t>TRUBKA OHEBNÁ STŘEDNÍ MECHANICKÁ O   DOLNOST</t>
  </si>
  <si>
    <t>D14</t>
  </si>
  <si>
    <t>LH40x40 vkladací</t>
  </si>
  <si>
    <t>Pol48</t>
  </si>
  <si>
    <t>LV24x22 vkladací</t>
  </si>
  <si>
    <t>Pol47</t>
  </si>
  <si>
    <t>LIŠTA-KANÁL ELEKTROINSTALAČNÍ</t>
  </si>
  <si>
    <t>D13</t>
  </si>
  <si>
    <t>8029 D 29   mm</t>
  </si>
  <si>
    <t>Pol46</t>
  </si>
  <si>
    <t>8021 D 21   mm</t>
  </si>
  <si>
    <t>Pol45</t>
  </si>
  <si>
    <t>8016 D 16   mm</t>
  </si>
  <si>
    <t>Pol44</t>
  </si>
  <si>
    <t>TRUBKA PANCEROVÁ Z PH</t>
  </si>
  <si>
    <t>D12</t>
  </si>
  <si>
    <t>HOP Ekvipotenciální přípojnice</t>
  </si>
  <si>
    <t>Pol43</t>
  </si>
  <si>
    <t>CY 6  mm2,zz         pevne</t>
  </si>
  <si>
    <t>Pol42</t>
  </si>
  <si>
    <t>VODIC PRO POSPOJOVANI</t>
  </si>
  <si>
    <t>D11</t>
  </si>
  <si>
    <t>A11 85x85mm</t>
  </si>
  <si>
    <t>Pol41</t>
  </si>
  <si>
    <t>KRABICOVÁ ROZVODKA, IP 54, PRÁZDNÁ (BETTERMANN)</t>
  </si>
  <si>
    <t>D10</t>
  </si>
  <si>
    <t>MaR DT1+DT2</t>
  </si>
  <si>
    <t>Pol40</t>
  </si>
  <si>
    <t>VÝROBA ROZVODNIC</t>
  </si>
  <si>
    <t>D9</t>
  </si>
  <si>
    <t>Montazni material a prace</t>
  </si>
  <si>
    <t>D8</t>
  </si>
  <si>
    <t>Specifikace dodávky  MaR DT1+DT2</t>
  </si>
  <si>
    <t>Pol39</t>
  </si>
  <si>
    <t>ks/db</t>
  </si>
  <si>
    <t>Dodavatelská dokumentace MaR</t>
  </si>
  <si>
    <t>Pol38</t>
  </si>
  <si>
    <t>Licence pro softwer min 200DB</t>
  </si>
  <si>
    <t>Pol37</t>
  </si>
  <si>
    <t>Software - dispečink/visualizace</t>
  </si>
  <si>
    <t>Pol36</t>
  </si>
  <si>
    <t>Software pro DDC - DT1 +DT2 (59+35DB)</t>
  </si>
  <si>
    <t>Pol35</t>
  </si>
  <si>
    <t xml:space="preserve">OSTATNÍ </t>
  </si>
  <si>
    <t>D7</t>
  </si>
  <si>
    <t>JYSTY2x2x0,8</t>
  </si>
  <si>
    <t>Pol34</t>
  </si>
  <si>
    <t>JYTY2x1</t>
  </si>
  <si>
    <t>Pol33</t>
  </si>
  <si>
    <t>JYTY4x1</t>
  </si>
  <si>
    <t>Pol32</t>
  </si>
  <si>
    <t>JYTY7x1</t>
  </si>
  <si>
    <t>Pol31</t>
  </si>
  <si>
    <t>CYKY3x4-J</t>
  </si>
  <si>
    <t>Pol30</t>
  </si>
  <si>
    <t>CYKY3x1,5-J</t>
  </si>
  <si>
    <t>Pol29</t>
  </si>
  <si>
    <t>CYKY5x1,5-J</t>
  </si>
  <si>
    <t>Pol28</t>
  </si>
  <si>
    <t>CYKY5x6-J</t>
  </si>
  <si>
    <t>Pol27</t>
  </si>
  <si>
    <t>KABELY</t>
  </si>
  <si>
    <t>D6</t>
  </si>
  <si>
    <t>FM měníče dodávka VZT</t>
  </si>
  <si>
    <t>Pol17</t>
  </si>
  <si>
    <t>Sm. uzel VZT2-dodávka UT</t>
  </si>
  <si>
    <t>Pol26</t>
  </si>
  <si>
    <t>ka</t>
  </si>
  <si>
    <t>Čidlo detekce kouře</t>
  </si>
  <si>
    <t>Pol25</t>
  </si>
  <si>
    <t>El. servopohon,10Nm,0-10V,</t>
  </si>
  <si>
    <t>Pol24</t>
  </si>
  <si>
    <t>El. servopohon,10Nm, hav. funkce</t>
  </si>
  <si>
    <t>Pol23</t>
  </si>
  <si>
    <t>Spínací skříňka dle specifikace SB2</t>
  </si>
  <si>
    <t>Pol22</t>
  </si>
  <si>
    <t>Kobinované čidlo CO2 pomocí senzoru IR a VOC             0-10V prostorové</t>
  </si>
  <si>
    <t>Pol21</t>
  </si>
  <si>
    <t>Čidlo relativní vlhkosti prostorové 0-10V</t>
  </si>
  <si>
    <t>Pol12</t>
  </si>
  <si>
    <t>Protimrazový termostat</t>
  </si>
  <si>
    <t>Pol11</t>
  </si>
  <si>
    <t>Manostat diferenčního tlaku</t>
  </si>
  <si>
    <t>Pol10</t>
  </si>
  <si>
    <t>Čidlo freonu do VZT R410</t>
  </si>
  <si>
    <t>Pol9</t>
  </si>
  <si>
    <t>Čidlo freonu prostorové R410</t>
  </si>
  <si>
    <t>Pol8</t>
  </si>
  <si>
    <t>Čidlo teploty do VZT PT1000</t>
  </si>
  <si>
    <t>Pol7</t>
  </si>
  <si>
    <t>Příložné čidlo teploty PT1000</t>
  </si>
  <si>
    <t>Pol4</t>
  </si>
  <si>
    <t>PERIFÉRIE VZT2</t>
  </si>
  <si>
    <t>D5</t>
  </si>
  <si>
    <t>Poznámka k položce:_x000D_
Poznámka k položce: minimálně 20% rezerva ŘS, komunikačních rozhranní novanet  apod...) včetně rozšiřujících modulů a sofwarové licence  (kompatibilní se stávajícím Sauter 3600)</t>
  </si>
  <si>
    <t>ŘS pro DT2  AI12, AO5, DI10, DO8 včetně ukončení sběrnic, zdrojů, převodníků,</t>
  </si>
  <si>
    <t>Pol20</t>
  </si>
  <si>
    <t>ŘÍDÍCÍ SYSTÉM</t>
  </si>
  <si>
    <t>D2</t>
  </si>
  <si>
    <t>stojan pod rozvaděč</t>
  </si>
  <si>
    <t>Pol19</t>
  </si>
  <si>
    <t>Poznámka k položce:_x000D_
Poznámka k položce: Vnitřním provedení IP54. Rozvodná soustava 3+N+PE, 50Hz, 400 TN-C-S. Základní panel, DIN lišty, kompletní provedení s náplní podle připojených, napájených, monitorovaných zařízení tzn. svorkovnice, jištění, přepěťová ochrana C,  trafo, zdroj, stykače, relé apod. Ovládací  a signalizační přístroje. Plastové štítky, přívody a vývody nahoře, napájení ze sítí . Atest včetně zkoušky funkčnosti, výstupní kontrola-revize.</t>
  </si>
  <si>
    <t>Rozvaděč DT2, závěsný rozvaděč 1000x1000x250 + držák na přichycení, Oceloplech.</t>
  </si>
  <si>
    <t>Pol18</t>
  </si>
  <si>
    <t>Specifikace dodávky  MaR DT2</t>
  </si>
  <si>
    <t>D4</t>
  </si>
  <si>
    <t>Sm. uzel VZT1 + UT-dodávka profese UT</t>
  </si>
  <si>
    <t>Pol16</t>
  </si>
  <si>
    <t>El. servopohon,20Nm,0-10V,</t>
  </si>
  <si>
    <t>Pol15</t>
  </si>
  <si>
    <t>El. servopohon,20Nm, hav. funkce</t>
  </si>
  <si>
    <t>Pol14</t>
  </si>
  <si>
    <t>Spínací skříňka dle specifikace SB1</t>
  </si>
  <si>
    <t>Pol13</t>
  </si>
  <si>
    <t>Čidlo tlaku vody vč. šroubení 0-10Bar/0-10V</t>
  </si>
  <si>
    <t>Pol6</t>
  </si>
  <si>
    <t>Čidlo teploty prostorové PT1000</t>
  </si>
  <si>
    <t>Pol5</t>
  </si>
  <si>
    <t>Čidlo venkovní teploty PT1000</t>
  </si>
  <si>
    <t>Pol3</t>
  </si>
  <si>
    <t>PERIFÉRIE VZT1</t>
  </si>
  <si>
    <t>D3</t>
  </si>
  <si>
    <t>Poznámka k položce:_x000D_
Poznámka k položce: minimálně 20% rezerva ŘS, komunikačních rozhranní novanet  apod...) včetně rozšiřujících modulů a sofwarové licence (kompatibilní se stávajícím Sauter 3600) 1</t>
  </si>
  <si>
    <t>ŘS pro DT1  AI23, AO9, DI14, DO13 včetně ukončení sběrnic, zdrojů, převodníků,</t>
  </si>
  <si>
    <t>Pol2</t>
  </si>
  <si>
    <t>Poznámka k položce:_x000D_
Poznámka k položce: Vnitřním provedení IP54. Rozvodná soustava 3+N+PE, 50Hz, 400 TN-C-S. Základní panel, DIN lišty, kompletní provedení s náplní podle připojených, napájených, monitorovaných zařízení tzn. svorkovnice, jištění, přepěťová ochrana C,  trafo, zdroj, stykače, relé apod. Ovládací  a signalizační přístroje. Plastové štítky, přívody a vývody nahoře, napájení ze sítí . Atest včetně zkoušky funkčnosti, výstupní kontrola-revize.  zkratová odolnost přístrojů min. 10kA</t>
  </si>
  <si>
    <t>Rozvaděč DT1, závěsný rozvaděč 1000x1200x250 + držák na přichycení, Oceloplech.</t>
  </si>
  <si>
    <t>Pol1</t>
  </si>
  <si>
    <t>Specifikace dodávky  MaR DT1</t>
  </si>
  <si>
    <t xml:space="preserve">    D22 - PODRUŽNÝ MATERIÁL</t>
  </si>
  <si>
    <t xml:space="preserve">    D21 - PROVEDENÍ REVIZNÍCH ZKOUŠEK, DLE CSN 331500</t>
  </si>
  <si>
    <t xml:space="preserve">    D20 - SPOLUPRACE S DODAVATELEM PRI</t>
  </si>
  <si>
    <t xml:space="preserve">    D19 - KOORDINACE POSTUPU PRACI</t>
  </si>
  <si>
    <t xml:space="preserve">    D18 - HODINOVÉ ZŮČTOVACÍ SAZBY</t>
  </si>
  <si>
    <t xml:space="preserve">    D17 - MONTÁŽNÍ PLOŠINA do 15m</t>
  </si>
  <si>
    <t xml:space="preserve">    D16 - POŽÁRNÍ UCPÁVKY</t>
  </si>
  <si>
    <t xml:space="preserve">    D15 - KABELOVÝ ŽLAB MARS/MERKUR VČETNĚ DÍLŮ A PŘÍSLUŠENSTVÍ (BEZ PŘEPÁŽEK)</t>
  </si>
  <si>
    <t xml:space="preserve">    D14 - TRUBKA OHEBNÁ STŘEDNÍ MECHANICKÁ O   DOLNOST</t>
  </si>
  <si>
    <t xml:space="preserve">    D13 - LIŠTA-KANÁL ELEKTROINSTALAČNÍ</t>
  </si>
  <si>
    <t xml:space="preserve">    D12 - TRUBKA PANCEROVÁ Z PH</t>
  </si>
  <si>
    <t xml:space="preserve">    D11 - VODIC PRO POSPOJOVANI</t>
  </si>
  <si>
    <t xml:space="preserve">    D10 - KRABICOVÁ ROZVODKA, IP 54, PRÁZDNÁ (BETTERMANN)</t>
  </si>
  <si>
    <t xml:space="preserve">    D9 - VÝROBA ROZVODNIC</t>
  </si>
  <si>
    <t>D8 - Montazni material a prace</t>
  </si>
  <si>
    <t xml:space="preserve">    D7 - OSTATNÍ </t>
  </si>
  <si>
    <t xml:space="preserve">    D6 - KABELY</t>
  </si>
  <si>
    <t xml:space="preserve">    D5 - PERIFÉRIE VZT2</t>
  </si>
  <si>
    <t xml:space="preserve">    D2 - ŘÍDÍCÍ SYSTÉM</t>
  </si>
  <si>
    <t>D4 - Specifikace dodávky  MaR DT2</t>
  </si>
  <si>
    <t xml:space="preserve">    D3 - PERIFÉRIE VZT1</t>
  </si>
  <si>
    <t>D1 - Specifikace dodávky  MaR DT1</t>
  </si>
  <si>
    <t>D.1.4.4 - MĚŘENÍ A REGULACE</t>
  </si>
  <si>
    <t>{d6e67fcb-4818-4917-82e8-aa9bccce2451}</t>
  </si>
  <si>
    <t>Online PSC</t>
  </si>
  <si>
    <t>https://podminky.urs.cz/item/CS_URS_2022_02/783617621</t>
  </si>
  <si>
    <t>-2093775739</t>
  </si>
  <si>
    <t>CS ÚRS 2022 02</t>
  </si>
  <si>
    <t>Krycí nátěr (email) armatur a kovových potrubí potrubí přes DN 50 do DN 100 mm jednonásobný syntetický standardní</t>
  </si>
  <si>
    <t>783617621</t>
  </si>
  <si>
    <t>https://podminky.urs.cz/item/CS_URS_2022_02/783617601</t>
  </si>
  <si>
    <t>287620617</t>
  </si>
  <si>
    <t>Krycí nátěr (email) armatur a kovových potrubí potrubí do DN 50 mm jednonásobný syntetický standardní</t>
  </si>
  <si>
    <t>783617601</t>
  </si>
  <si>
    <t>163</t>
  </si>
  <si>
    <t>https://podminky.urs.cz/item/CS_URS_2022_02/783615561</t>
  </si>
  <si>
    <t>866477203</t>
  </si>
  <si>
    <t>Mezinátěr armatur a kovových potrubí potrubí přes DN 50 do DN 100 mm syntetický standardní</t>
  </si>
  <si>
    <t>783615561</t>
  </si>
  <si>
    <t>https://podminky.urs.cz/item/CS_URS_2022_02/783615551</t>
  </si>
  <si>
    <t>459074156</t>
  </si>
  <si>
    <t>Mezinátěr armatur a kovových potrubí potrubí do DN 50 mm syntetický standardní</t>
  </si>
  <si>
    <t>783615551</t>
  </si>
  <si>
    <t>161</t>
  </si>
  <si>
    <t>https://podminky.urs.cz/item/CS_URS_2022_02/783614561</t>
  </si>
  <si>
    <t>-777455450</t>
  </si>
  <si>
    <t>Základní nátěr armatur a kovových potrubí jednonásobný potrubí přes DN 50 do DN 100 mm syntetický</t>
  </si>
  <si>
    <t>783614561</t>
  </si>
  <si>
    <t>https://podminky.urs.cz/item/CS_URS_2022_02/783614551</t>
  </si>
  <si>
    <t>219733981</t>
  </si>
  <si>
    <t>Základní nátěr armatur a kovových potrubí jednonásobný potrubí do DN 50 mm syntetický</t>
  </si>
  <si>
    <t>783614551</t>
  </si>
  <si>
    <t>159</t>
  </si>
  <si>
    <t>https://podminky.urs.cz/item/CS_URS_2022_02/783601731</t>
  </si>
  <si>
    <t>1120502971</t>
  </si>
  <si>
    <t>Příprava podkladu armatur a kovových potrubí před provedením nátěru potrubí přes DN 50 do DN 100 mm odmaštěním, odmašťovačem vodou ředitelným</t>
  </si>
  <si>
    <t>783601731</t>
  </si>
  <si>
    <t>https://podminky.urs.cz/item/CS_URS_2022_02/783601713</t>
  </si>
  <si>
    <t>1581755275</t>
  </si>
  <si>
    <t>Příprava podkladu armatur a kovových potrubí před provedením nátěru potrubí do DN 50 mm odmaštěním, odmašťovačem vodou ředitelným</t>
  </si>
  <si>
    <t>783601713</t>
  </si>
  <si>
    <t>157</t>
  </si>
  <si>
    <t>https://podminky.urs.cz/item/CS_URS_2022_02/783317101</t>
  </si>
  <si>
    <t>1983638377</t>
  </si>
  <si>
    <t>m2</t>
  </si>
  <si>
    <t>Krycí nátěr (email) zámečnických konstrukcí jednonásobný syntetický standardní</t>
  </si>
  <si>
    <t>783317101</t>
  </si>
  <si>
    <t>https://podminky.urs.cz/item/CS_URS_2022_02/783315101</t>
  </si>
  <si>
    <t>-1197992867</t>
  </si>
  <si>
    <t>Mezinátěr zámečnických konstrukcí jednonásobný syntetický standardní</t>
  </si>
  <si>
    <t>783315101</t>
  </si>
  <si>
    <t>155</t>
  </si>
  <si>
    <t>https://podminky.urs.cz/item/CS_URS_2022_02/783314101</t>
  </si>
  <si>
    <t>-1261695973</t>
  </si>
  <si>
    <t>Základní nátěr zámečnických konstrukcí jednonásobný syntetický</t>
  </si>
  <si>
    <t>783314101</t>
  </si>
  <si>
    <t>True</t>
  </si>
  <si>
    <t>VV</t>
  </si>
  <si>
    <t>2,00    "rozdělovač a sběrač</t>
  </si>
  <si>
    <t>https://podminky.urs.cz/item/CS_URS_2022_02/783306801</t>
  </si>
  <si>
    <t>-384158363</t>
  </si>
  <si>
    <t>Odstranění nátěrů ze zámečnických konstrukcí obroušením</t>
  </si>
  <si>
    <t>783306801</t>
  </si>
  <si>
    <t>153</t>
  </si>
  <si>
    <t>Dokončovací práce - nátěry</t>
  </si>
  <si>
    <t>783</t>
  </si>
  <si>
    <t>1511662271</t>
  </si>
  <si>
    <t>soubor</t>
  </si>
  <si>
    <t>Napuštění vody do otopného systému po montáži regulace větví a úprav rozvodů včetně odvzdušnění otopných těles</t>
  </si>
  <si>
    <t>735494929X32</t>
  </si>
  <si>
    <t>97586141</t>
  </si>
  <si>
    <t>Vypuštění vody z otopné soustavy před začátkem demontáže regulace větví</t>
  </si>
  <si>
    <t>735494928X31</t>
  </si>
  <si>
    <t>151</t>
  </si>
  <si>
    <t>-209948857</t>
  </si>
  <si>
    <t>kus</t>
  </si>
  <si>
    <t>Demontáž podokenních vzduchotechnických jednotek</t>
  </si>
  <si>
    <t>735421811X30</t>
  </si>
  <si>
    <t>149</t>
  </si>
  <si>
    <t>2,000         "otopná tělesa pro opětovnou montáž (strojovna vzduchotechniky 1.PP)</t>
  </si>
  <si>
    <t>https://podminky.urs.cz/item/CS_URS_2022_02/735151821</t>
  </si>
  <si>
    <t>1838767146</t>
  </si>
  <si>
    <t>Demontáž otopných těles panelových dvouřadých stavební délky do 1500 mm</t>
  </si>
  <si>
    <t>735151821</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</si>
  <si>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</si>
  <si>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</si>
  <si>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https://podminky.urs.cz/item/CS_URS_2022_02/998735193</t>
  </si>
  <si>
    <t>-2035152119</t>
  </si>
  <si>
    <t>t</t>
  </si>
  <si>
    <t>Přesun hmot pro otopná tělesa stanovený z hmotnosti přesunovaného materiálu Příplatek k cenám za zvětšený přesun přes vymezenou největší dopravní vzdálenost do 500 m</t>
  </si>
  <si>
    <t>998735193</t>
  </si>
  <si>
    <t>147</t>
  </si>
  <si>
    <t>https://podminky.urs.cz/item/CS_URS_2022_02/998735102</t>
  </si>
  <si>
    <t>-1780287640</t>
  </si>
  <si>
    <t>Přesun hmot pro otopná tělesa stanovený z hmotnosti přesunovaného materiálu vodorovná dopravní vzdálenost do 50 m v objektech výšky přes 6 do 12 m</t>
  </si>
  <si>
    <t>998735102</t>
  </si>
  <si>
    <t>2            "opětovná montáž demontovaných otopných těles (strojovna vzduchotechniky 1.PP)</t>
  </si>
  <si>
    <t>https://podminky.urs.cz/item/CS_URS_2022_02/735159210</t>
  </si>
  <si>
    <t>2031198308</t>
  </si>
  <si>
    <t>Montáž otopných těles panelových dvouřadých, stavební délky do 1140 mm</t>
  </si>
  <si>
    <t>735159210</t>
  </si>
  <si>
    <t>145</t>
  </si>
  <si>
    <t>-225486543</t>
  </si>
  <si>
    <t>M</t>
  </si>
  <si>
    <t>Kotevni stojan otopného tělesa H=900 mm vnitřní</t>
  </si>
  <si>
    <t>484544791X29</t>
  </si>
  <si>
    <t>136016320</t>
  </si>
  <si>
    <t>Otopné ocelové deskové těleso s čelní tvarovanou plochou boční vývody ozn. 22  dvojité (dvě desky se dvěma přídavnými přestupními otopnými plochami) výška 900 mm délka 1 100 mm hloubka 100 mm (včetně uchycení) (RAL 9016)</t>
  </si>
  <si>
    <t>484544781X28</t>
  </si>
  <si>
    <t>143</t>
  </si>
  <si>
    <t>870537339</t>
  </si>
  <si>
    <t>Ústřední vytápění - otopná tělesa</t>
  </si>
  <si>
    <t>735</t>
  </si>
  <si>
    <t>https://podminky.urs.cz/item/CS_URS_2022_02/734420811</t>
  </si>
  <si>
    <t>514452540</t>
  </si>
  <si>
    <t>Demontáž tlakoměrů se spodním připojením</t>
  </si>
  <si>
    <t>734420811</t>
  </si>
  <si>
    <t>https://podminky.urs.cz/item/CS_URS_2022_02/734410821</t>
  </si>
  <si>
    <t>1977837095</t>
  </si>
  <si>
    <t>Demontáž teploměrů s ochranným pouzdrem dvojkovových</t>
  </si>
  <si>
    <t>734410821</t>
  </si>
  <si>
    <t>139</t>
  </si>
  <si>
    <t>https://podminky.urs.cz/item/CS_URS_2022_02/734200824</t>
  </si>
  <si>
    <t>-2126104986</t>
  </si>
  <si>
    <t>Demontáž armatur závitových se dvěma závity přes 6/4 do G 2</t>
  </si>
  <si>
    <t>734200824</t>
  </si>
  <si>
    <t>https://podminky.urs.cz/item/CS_URS_2022_02/734200811</t>
  </si>
  <si>
    <t>-673011259</t>
  </si>
  <si>
    <t>Demontáž armatur závitových s jedním závitem do G 1/2</t>
  </si>
  <si>
    <t>734200811</t>
  </si>
  <si>
    <t>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</si>
  <si>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</si>
  <si>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https://podminky.urs.cz/item/CS_URS_2022_02/998734193</t>
  </si>
  <si>
    <t>357022066</t>
  </si>
  <si>
    <t>Přesun hmot pro armatury stanovený z hmotnosti přesunovaného materiálu Příplatek k cenám za zvětšený přesun přes vymezenou největší dopravní vzdálenost do 500 m</t>
  </si>
  <si>
    <t>998734193</t>
  </si>
  <si>
    <t>https://podminky.urs.cz/item/CS_URS_2022_02/998734102</t>
  </si>
  <si>
    <t>-1466586602</t>
  </si>
  <si>
    <t>Přesun hmot pro armatury stanovený z hmotnosti přesunovaného materiálu vodorovná dopravní vzdálenost do 50 m v objektech výšky přes 6 do 12 m</t>
  </si>
  <si>
    <t>998734102</t>
  </si>
  <si>
    <t>135</t>
  </si>
  <si>
    <t xml:space="preserve">Poznámka k souboru cen:_x000D_
1. V cenách -9211 až -9213 je započtena montáž návarků přivařením; jejich dodávka se oceňuje ve specifikaci pouze v případech, kdy návarky nejsou součástí dodávky zařízení._x000D_
</t>
  </si>
  <si>
    <t>https://podminky.urs.cz/item/CS_URS_2022_02/734499211</t>
  </si>
  <si>
    <t>-1643456121</t>
  </si>
  <si>
    <t>Měřicí armatury montáž návarků M 20 x 1,5</t>
  </si>
  <si>
    <t>734499211</t>
  </si>
  <si>
    <t>https://podminky.urs.cz/item/CS_URS_2022_02/734494213</t>
  </si>
  <si>
    <t>-1833562941</t>
  </si>
  <si>
    <t>Měřicí armatury návarky s trubkovým závitem G 1/2</t>
  </si>
  <si>
    <t>734494213</t>
  </si>
  <si>
    <t>133</t>
  </si>
  <si>
    <t>-738592846</t>
  </si>
  <si>
    <t>Trojcestný zkušební kohout k manometru PN 16/100°C</t>
  </si>
  <si>
    <t>7344242X27</t>
  </si>
  <si>
    <t>https://podminky.urs.cz/item/CS_URS_2022_02/734421111</t>
  </si>
  <si>
    <t>-1372495603</t>
  </si>
  <si>
    <t>Tlakoměry s pevným stonkem a zpětnou klapkou zadní připojení (axiální) tlaku 0–16 bar průměru 50 mm</t>
  </si>
  <si>
    <t>734421111</t>
  </si>
  <si>
    <t>131</t>
  </si>
  <si>
    <t>-2098278535</t>
  </si>
  <si>
    <t>Teploměry technické s pevným stonkem a jímkou zadní připojení (axiální) průměr 100 mm délka stonku 120 mm (0 až 120°)</t>
  </si>
  <si>
    <t>734411125X51</t>
  </si>
  <si>
    <t>https://podminky.urs.cz/item/CS_URS_2022_02/734411113</t>
  </si>
  <si>
    <t>576634789</t>
  </si>
  <si>
    <t>Teploměry technické s pevným stonkem a jímkou zadní připojení (axiální) průměr 80 mm délka stonku 50 mm</t>
  </si>
  <si>
    <t>734411113</t>
  </si>
  <si>
    <t>129</t>
  </si>
  <si>
    <t>https://podminky.urs.cz/item/CS_URS_2022_02/734291123</t>
  </si>
  <si>
    <t>-709262919</t>
  </si>
  <si>
    <t>Ostatní armatury kohouty plnicí a vypouštěcí PN 10 do 90°C G 1/2</t>
  </si>
  <si>
    <t>734291123</t>
  </si>
  <si>
    <t>1065657323</t>
  </si>
  <si>
    <t>Kulový kohout pro ÚT závitový s rovnou páčkou PN 20/115°C (kv = 269) G 3"</t>
  </si>
  <si>
    <t>551284241X26</t>
  </si>
  <si>
    <t>127</t>
  </si>
  <si>
    <t>https://podminky.urs.cz/item/CS_URS_2022_02/734209120</t>
  </si>
  <si>
    <t>958298018</t>
  </si>
  <si>
    <t>Montáž závitových armatur se 2 závity G 3 (DN 80)</t>
  </si>
  <si>
    <t>734209120</t>
  </si>
  <si>
    <t>897413596</t>
  </si>
  <si>
    <t>Vyvažovací statický ventil pro měření průtoku, regulaci a uzavírání závitový PN 20/120°C (kvs = 33) G 2“</t>
  </si>
  <si>
    <t>551273881X25</t>
  </si>
  <si>
    <t>125</t>
  </si>
  <si>
    <t>https://podminky.urs.cz/item/CS_URS_2022_02/734209118</t>
  </si>
  <si>
    <t>703716371</t>
  </si>
  <si>
    <t>Montáž závitových armatur se 2 závity G 2 (DN 50)</t>
  </si>
  <si>
    <t>734209118</t>
  </si>
  <si>
    <t>-417156322</t>
  </si>
  <si>
    <t>Filtr závitový pro ÚT (kv = 34) PN 16/100°C G 2"</t>
  </si>
  <si>
    <t>551284231X24</t>
  </si>
  <si>
    <t>123</t>
  </si>
  <si>
    <t>-1595257237</t>
  </si>
  <si>
    <t>296416230</t>
  </si>
  <si>
    <t>Zpětná klapka závitová pro ÚT PN 16/100°C (kv = 59,8) G 2“</t>
  </si>
  <si>
    <t>551284871X23</t>
  </si>
  <si>
    <t>121</t>
  </si>
  <si>
    <t>223147568</t>
  </si>
  <si>
    <t>-1617433947</t>
  </si>
  <si>
    <t xml:space="preserve">Kulový kohout pro ÚT závitový s rovnou páčkou PN 20/115°C (kv = 158) G 2" </t>
  </si>
  <si>
    <t>551284221X22</t>
  </si>
  <si>
    <t>119</t>
  </si>
  <si>
    <t>1260282549</t>
  </si>
  <si>
    <t>456315499</t>
  </si>
  <si>
    <t xml:space="preserve">Filtr závitový pro ÚT (kv = 21) PN 16/100°C G 6/4"  </t>
  </si>
  <si>
    <t>551284191X21</t>
  </si>
  <si>
    <t>117</t>
  </si>
  <si>
    <t>https://podminky.urs.cz/item/CS_URS_2022_02/734209117</t>
  </si>
  <si>
    <t>1213426949</t>
  </si>
  <si>
    <t>Montáž závitových armatur se 2 závity G 6/4 (DN 40)</t>
  </si>
  <si>
    <t>734209117</t>
  </si>
  <si>
    <t>-1245702398</t>
  </si>
  <si>
    <t>Zpětná klapka závitová pro ÚT PN 16/100°C (kv = 40,4) G 6/4“</t>
  </si>
  <si>
    <t>551284861X20</t>
  </si>
  <si>
    <t>115</t>
  </si>
  <si>
    <t>-509274903</t>
  </si>
  <si>
    <t>1470804678</t>
  </si>
  <si>
    <t xml:space="preserve">Kulový kohout pro ÚT závitový s rovnou páčkou PN 20/115°C (kv = 105) G 6/4"   </t>
  </si>
  <si>
    <t>551284211X19</t>
  </si>
  <si>
    <t>113</t>
  </si>
  <si>
    <t>-196265736</t>
  </si>
  <si>
    <t>-417214043</t>
  </si>
  <si>
    <t>Vyvažovací statický ventil pro měření průtoku, regulaci a uzavírání závitový PN 20/120°C (kvs = 19,30) G 6/4“</t>
  </si>
  <si>
    <t>551273851X18</t>
  </si>
  <si>
    <t>111</t>
  </si>
  <si>
    <t>1015228202</t>
  </si>
  <si>
    <t>1606420107</t>
  </si>
  <si>
    <t>Servomotor 24V (0…10V) proporcionální řízení pro závitový směšovač včetně montážní sady kroutící moment 6 Nm</t>
  </si>
  <si>
    <t>551273841X17</t>
  </si>
  <si>
    <t>109</t>
  </si>
  <si>
    <t>1745205068</t>
  </si>
  <si>
    <t>Montáž servopohonu na trojcestný závitový směšovač</t>
  </si>
  <si>
    <t>734209141X16</t>
  </si>
  <si>
    <t>1501003083</t>
  </si>
  <si>
    <t xml:space="preserve">Trojcestný směšovací ventil PN 10/110°C kvs = 16 m3/h G 5/4" </t>
  </si>
  <si>
    <t>551273792X15</t>
  </si>
  <si>
    <t>107</t>
  </si>
  <si>
    <t>https://podminky.urs.cz/item/CS_URS_2022_02/734209126</t>
  </si>
  <si>
    <t>-781875277</t>
  </si>
  <si>
    <t>Montáž závitových armatur se 3 závity G 5/4 (DN 32)</t>
  </si>
  <si>
    <t>734209126</t>
  </si>
  <si>
    <t>333296026</t>
  </si>
  <si>
    <t>Vyvažovací statický ventil pro měření průtoku, regulaci a uzavírání závitový PN 20/120°C (kvs = 14,20) G 5/4“</t>
  </si>
  <si>
    <t>551273831X14</t>
  </si>
  <si>
    <t>https://podminky.urs.cz/item/CS_URS_2022_02/734209116</t>
  </si>
  <si>
    <t>1876496758</t>
  </si>
  <si>
    <t>Montáž závitových armatur se 2 závity G 5/4 (DN 32)</t>
  </si>
  <si>
    <t>734209116</t>
  </si>
  <si>
    <t>-1464999311</t>
  </si>
  <si>
    <t xml:space="preserve">Kulový kohout pro ÚT závitový s rovnou páčkou PN 20/115°C (kv = 73,5) G 5/4"   </t>
  </si>
  <si>
    <t>551284201X13</t>
  </si>
  <si>
    <t>1903025079</t>
  </si>
  <si>
    <t>2055406083</t>
  </si>
  <si>
    <t>551273811X12</t>
  </si>
  <si>
    <t>1704389659</t>
  </si>
  <si>
    <t>734209140X11</t>
  </si>
  <si>
    <t>2099786894</t>
  </si>
  <si>
    <t xml:space="preserve">Trojcestný směšovací ventil PN 10/110°C kvs = 6,3 m3/h G 1" </t>
  </si>
  <si>
    <t>551273782X10</t>
  </si>
  <si>
    <t>https://podminky.urs.cz/item/CS_URS_2022_02/734209125</t>
  </si>
  <si>
    <t>137733524</t>
  </si>
  <si>
    <t>Montáž závitových armatur se 3 závity G 1 (DN 25)</t>
  </si>
  <si>
    <t>734209125</t>
  </si>
  <si>
    <t>2136162805</t>
  </si>
  <si>
    <t>Kulový kohout  pro ÚT závitový s rovnou páčkou  PN 20/115°C (kv=36,3 m3/hod.) G 1“</t>
  </si>
  <si>
    <t>551273801X09</t>
  </si>
  <si>
    <t>https://podminky.urs.cz/item/CS_URS_2022_02/734209115</t>
  </si>
  <si>
    <t>1506483202</t>
  </si>
  <si>
    <t>Montáž závitových armatur se 2 závity G 1 (DN 25)</t>
  </si>
  <si>
    <t>734209115</t>
  </si>
  <si>
    <t>891055868</t>
  </si>
  <si>
    <t>Vyvažovací statický ventil pro měření průtoku, regulaci a uzavírání závitový PN 20/120°C (kvs = 5,39) G 3/4“</t>
  </si>
  <si>
    <t>551273791X08</t>
  </si>
  <si>
    <t>https://podminky.urs.cz/item/CS_URS_2022_02/734209114</t>
  </si>
  <si>
    <t>-463892533</t>
  </si>
  <si>
    <t>Montáž závitových armatur se 2 závity G 3/4 (DN 20)</t>
  </si>
  <si>
    <t>734209114</t>
  </si>
  <si>
    <t>276871809</t>
  </si>
  <si>
    <t>Zpětná klapka závitová pro ÚT (kv=7,1 m3/hod.) PN 16/100°C G 3/4“</t>
  </si>
  <si>
    <t>551273781X07</t>
  </si>
  <si>
    <t>-135329422</t>
  </si>
  <si>
    <t>-469165748</t>
  </si>
  <si>
    <t>Zpětná klapka závitová pro ÚT (kv=4 m3/hod.) PN 16/100°C G 1/2“</t>
  </si>
  <si>
    <t>551273761X06</t>
  </si>
  <si>
    <t>https://podminky.urs.cz/item/CS_URS_2022_02/734209113</t>
  </si>
  <si>
    <t>-767723263</t>
  </si>
  <si>
    <t>Montáž závitových armatur se 2 závity G 1/2 (DN 15)</t>
  </si>
  <si>
    <t>734209113</t>
  </si>
  <si>
    <t>-491854695</t>
  </si>
  <si>
    <t>Vyvažovací statický ventil pro měření průtoku, regulaci a uzavírání závitový PN 20/120°C (kvs =2,56) G 1/2“</t>
  </si>
  <si>
    <t>551273771X05</t>
  </si>
  <si>
    <t>-1005729676</t>
  </si>
  <si>
    <t>60146415</t>
  </si>
  <si>
    <t>Přímé regulovatelné uzavírací šroubení jednoduché (kvs=2,5 m3/hod.) G 1/2“</t>
  </si>
  <si>
    <t>551212361X04</t>
  </si>
  <si>
    <t>-1664850333</t>
  </si>
  <si>
    <t>-675547551</t>
  </si>
  <si>
    <t>Přímý radiátorový termostatický ventil s přednastavením (kvs = 0,9 m3/hod.) pro nacvaknutí TH G 1/2“</t>
  </si>
  <si>
    <t>551212341X03</t>
  </si>
  <si>
    <t>-343678370</t>
  </si>
  <si>
    <t>428541740</t>
  </si>
  <si>
    <t>Termostatická hlavice s vestavěným čidlem s plynovou náplní – pro nacvaknutí</t>
  </si>
  <si>
    <t>551284111X02</t>
  </si>
  <si>
    <t>https://podminky.urs.cz/item/CS_URS_2022_02/734209103</t>
  </si>
  <si>
    <t>1600277164</t>
  </si>
  <si>
    <t>Montáž závitových armatur s 1 závitem G 1/2 (DN 15)</t>
  </si>
  <si>
    <t>734209103</t>
  </si>
  <si>
    <t>1427286843</t>
  </si>
  <si>
    <t>Přímý automatický odvzdušňovací ventil včetně zpětné klapky PN 12/100°C G 1/2”</t>
  </si>
  <si>
    <t>551284121X01</t>
  </si>
  <si>
    <t>-265119855</t>
  </si>
  <si>
    <t>Ústřední vytápění - armatury</t>
  </si>
  <si>
    <t>734</t>
  </si>
  <si>
    <t>36,00         "demontáž nefunkčního potrubí v chodbě 1.PP</t>
  </si>
  <si>
    <t>https://podminky.urs.cz/item/CS_URS_2022_02/733110808</t>
  </si>
  <si>
    <t>2129299908</t>
  </si>
  <si>
    <t>Demontáž potrubí z trubek ocelových závitových DN přes 32 do 50</t>
  </si>
  <si>
    <t>733110808</t>
  </si>
  <si>
    <t>12            "k původním podokenním jednotkám</t>
  </si>
  <si>
    <t xml:space="preserve">Poznámka k souboru cen:_x000D_
1. V cenách -3810 a -3820, -4810 až -4830 je započtena demontáž konzol, podpěr a výložníků zakotvených do zdiva jednostranně. Je-li nosná konstrukce vetknuta do zdiva oboustranně, určuje se počet rozřezání dvojnásobným množstvím._x000D_
</t>
  </si>
  <si>
    <t>662497531</t>
  </si>
  <si>
    <t>Demontáž potrubních přípojek DN 25 mm</t>
  </si>
  <si>
    <t>733192801X01</t>
  </si>
  <si>
    <t>https://podminky.urs.cz/item/CS_URS_2022_02/733120826</t>
  </si>
  <si>
    <t>-357976572</t>
  </si>
  <si>
    <t>Demontáž potrubí z trubek ocelových hladkých Ø přes 60,3 do 89</t>
  </si>
  <si>
    <t>733120826</t>
  </si>
  <si>
    <t>32005445</t>
  </si>
  <si>
    <t>https://podminky.urs.cz/item/CS_URS_2022_02/733110803</t>
  </si>
  <si>
    <t>740084833</t>
  </si>
  <si>
    <t>Demontáž potrubí z trubek ocelových závitových DN do 15</t>
  </si>
  <si>
    <t>733110803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</si>
  <si>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</si>
  <si>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https://podminky.urs.cz/item/CS_URS_2022_02/998733193</t>
  </si>
  <si>
    <t>-890350727</t>
  </si>
  <si>
    <t>Přesun hmot pro rozvody potrubí stanovený z hmotnosti přesunovaného materiálu Příplatek k cenám za zvětšený přesun přes vymezenou největší dopravní vzdálenost do 500 m</t>
  </si>
  <si>
    <t>998733193</t>
  </si>
  <si>
    <t>https://podminky.urs.cz/item/CS_URS_2022_02/998733102</t>
  </si>
  <si>
    <t>-2033905583</t>
  </si>
  <si>
    <t>Přesun hmot pro rozvody potrubí stanovený z hmotnosti přesunovaného materiálu vodorovná dopravní vzdálenost do 50 m v objektech výšky přes 6 do 12 m</t>
  </si>
  <si>
    <t>998733102</t>
  </si>
  <si>
    <t>2          "napojení nového potrubí  na stávající rozvod průměru 89 mm</t>
  </si>
  <si>
    <t>291542360</t>
  </si>
  <si>
    <t>Opravy rozvodů potrubí z trubek ocelových hladkých navaření na stávající potrubí Ø 89/3,6 mm</t>
  </si>
  <si>
    <t>733194955X06</t>
  </si>
  <si>
    <t>6         "napojení nového potrubí  na stávající rozvod DN 50 mm</t>
  </si>
  <si>
    <t>1175574291</t>
  </si>
  <si>
    <t>Opravy rozvodů potrubí z trubek ocelových závitových normálních i zesílených navaření na stávající potrubí DN 50 mm</t>
  </si>
  <si>
    <t>733191938X05</t>
  </si>
  <si>
    <t>2          "napojení nového potrubí  na stávající rozvod DN 40 mm</t>
  </si>
  <si>
    <t>555707618</t>
  </si>
  <si>
    <t>Opravy rozvodů potrubí z trubek ocelových závitových normálních i zesílených navaření na stávající potrubí DN 40 mm</t>
  </si>
  <si>
    <t>733191937X04</t>
  </si>
  <si>
    <t>2          "napojení nového potrubí  na stávající rozvod DN 32 mm</t>
  </si>
  <si>
    <t>-190540063</t>
  </si>
  <si>
    <t>Opravy rozvodů potrubí z trubek ocelových závitových normálních i zesílených navaření na stávající potrubí DN 32 mm</t>
  </si>
  <si>
    <t>733191936X03</t>
  </si>
  <si>
    <t>2          "napojení nového potrubí  na stávající rozvod DN 15 mm</t>
  </si>
  <si>
    <t>-1980952728</t>
  </si>
  <si>
    <t>Opravy rozvodů potrubí z trubek ocelových závitových normálních i zesílených navaření na stávající potrubí DN 15 mm</t>
  </si>
  <si>
    <t>733191933X02</t>
  </si>
  <si>
    <t>https://podminky.urs.cz/item/CS_URS_2022_02/733191925</t>
  </si>
  <si>
    <t>-1775513813</t>
  </si>
  <si>
    <t>Opravy rozvodů potrubí z trubek ocelových závitových normálních i zesílených navaření odbočky na stávající potrubí, odbočka DN 25</t>
  </si>
  <si>
    <t>733191925</t>
  </si>
  <si>
    <t>https://podminky.urs.cz/item/CS_URS_2022_02/733191923</t>
  </si>
  <si>
    <t>-932476869</t>
  </si>
  <si>
    <t>Opravy rozvodů potrubí z trubek ocelových závitových normálních i zesílených navaření odbočky na stávající potrubí, odbočka DN 15</t>
  </si>
  <si>
    <t>733191923</t>
  </si>
  <si>
    <t>https://podminky.urs.cz/item/CS_URS_2022_02/733191915</t>
  </si>
  <si>
    <t>-78767988</t>
  </si>
  <si>
    <t>Opravy rozvodů potrubí z trubek ocelových závitových normálních i zesílených zaslepení skováním a zavařením DN 25</t>
  </si>
  <si>
    <t>733191915</t>
  </si>
  <si>
    <t xml:space="preserve">Poznámka k souboru cen:_x000D_
1. Zkouškami těsnosti potrubí se rozumí běžné přezkoušení za provozu (např. při výměně částí potrubí nebo armatury)._x000D_
</t>
  </si>
  <si>
    <t>https://podminky.urs.cz/item/CS_URS_2022_02/733190225</t>
  </si>
  <si>
    <t>-1806339116</t>
  </si>
  <si>
    <t>Zkoušky těsnosti potrubí, manžety prostupové z trubek ocelových zkoušky těsnosti potrubí (za provozu) z trubek ocelových hladkých Ø přes 60,3/2,9 do 89/5,0</t>
  </si>
  <si>
    <t>733190225</t>
  </si>
  <si>
    <t>https://podminky.urs.cz/item/CS_URS_2022_02/733190108</t>
  </si>
  <si>
    <t>-675640241</t>
  </si>
  <si>
    <t>Zkoušky těsnosti potrubí, manžety prostupové z trubek ocelových zkoušky těsnosti potrubí (za provozu) z trubek ocelových závitových DN 40 do 50</t>
  </si>
  <si>
    <t>733190108</t>
  </si>
  <si>
    <t>https://podminky.urs.cz/item/CS_URS_2022_02/733190107</t>
  </si>
  <si>
    <t>-947995175</t>
  </si>
  <si>
    <t>Zkoušky těsnosti potrubí, manžety prostupové z trubek ocelových zkoušky těsnosti potrubí (za provozu) z trubek ocelových závitových DN do 40</t>
  </si>
  <si>
    <t>733190107</t>
  </si>
  <si>
    <t xml:space="preserve">Poznámka k souboru cen:_x000D_
1. Cenami –2122 a -2123 se oceňuje napojení rozvodu na jednotlivá stoupací potrubí, popř. na měřicí nebo regulační armaturu přípojky topného okruhu._x000D_
2. V cenách –2122 a -2123 je započteno:_x000D_
a) úplné těleso přípojky,_x000D_
b) navaření hrdla přípojky._x000D_
</t>
  </si>
  <si>
    <t>https://podminky.urs.cz/item/CS_URS_2022_02/733121225</t>
  </si>
  <si>
    <t>809510410</t>
  </si>
  <si>
    <t>Potrubí z trubek ocelových hladkých spojovaných svařováním černých bezešvých v kotelnách a strojovnách Ø 89/3,6</t>
  </si>
  <si>
    <t>733121225</t>
  </si>
  <si>
    <t>https://podminky.urs.cz/item/CS_URS_2022_02/733113115</t>
  </si>
  <si>
    <t>-595293550</t>
  </si>
  <si>
    <t>Potrubí z trubek ocelových závitových černých Příplatek k ceně za zhotovení přípojky z ocelových trubek závitových DN 25</t>
  </si>
  <si>
    <t>733113115</t>
  </si>
  <si>
    <t>https://podminky.urs.cz/item/CS_URS_2022_02/733113113</t>
  </si>
  <si>
    <t>44776800</t>
  </si>
  <si>
    <t>Potrubí z trubek ocelových závitových černých Příplatek k ceně za zhotovení přípojky z ocelových trubek závitových DN 15</t>
  </si>
  <si>
    <t>733113113</t>
  </si>
  <si>
    <t>https://podminky.urs.cz/item/CS_URS_2022_02/733111118</t>
  </si>
  <si>
    <t>-1694675852</t>
  </si>
  <si>
    <t>Potrubí z trubek ocelových závitových černých spojovaných svařováním bezešvých běžných nízkotlakých PN 16 do 115°C v kotelnách a strojovnách DN 50</t>
  </si>
  <si>
    <t>733111118</t>
  </si>
  <si>
    <t>https://podminky.urs.cz/item/CS_URS_2022_02/733111106</t>
  </si>
  <si>
    <t>-1393862730</t>
  </si>
  <si>
    <t>Potrubí z trubek ocelových závitových černých spojovaných svařováním bezešvých běžných nízkotlakých PN 16 do 115°C DN 32</t>
  </si>
  <si>
    <t>733111106</t>
  </si>
  <si>
    <t>https://podminky.urs.cz/item/CS_URS_2022_02/733111105</t>
  </si>
  <si>
    <t>-1252973053</t>
  </si>
  <si>
    <t>Potrubí z trubek ocelových závitových černých spojovaných svařováním bezešvých běžných nízkotlakých PN 16 do 115°C DN 25</t>
  </si>
  <si>
    <t>733111105</t>
  </si>
  <si>
    <t>https://podminky.urs.cz/item/CS_URS_2022_02/733111104</t>
  </si>
  <si>
    <t>1224043212</t>
  </si>
  <si>
    <t>Potrubí z trubek ocelových závitových černých spojovaných svařováním bezešvých běžných nízkotlakých PN 16 do 115°C DN 20</t>
  </si>
  <si>
    <t>733111104</t>
  </si>
  <si>
    <t>https://podminky.urs.cz/item/CS_URS_2022_02/733111103</t>
  </si>
  <si>
    <t>-2114003651</t>
  </si>
  <si>
    <t>Potrubí z trubek ocelových závitových černých spojovaných svařováním bezešvých běžných nízkotlakých PN 16 do 115°C DN 15</t>
  </si>
  <si>
    <t>733111103</t>
  </si>
  <si>
    <t>https://podminky.urs.cz/item/CS_URS_2022_02/733111117</t>
  </si>
  <si>
    <t>409259357</t>
  </si>
  <si>
    <t>Potrubí z trubek ocelových závitových černých spojovaných svařováním bezešvých běžných nízkotlakých PN 16 do 115°C v kotelnách a strojovnách DN 40</t>
  </si>
  <si>
    <t>733111117</t>
  </si>
  <si>
    <t>Ústřední vytápění - rozvodné potrubí</t>
  </si>
  <si>
    <t>733</t>
  </si>
  <si>
    <t>-1719135340</t>
  </si>
  <si>
    <t>Zpracování provozního řádu pro obsluhu a údržbu schémata doklady o revizích</t>
  </si>
  <si>
    <t>732999002X06</t>
  </si>
  <si>
    <t>-372323494</t>
  </si>
  <si>
    <t>hodina</t>
  </si>
  <si>
    <t>Topná zkouška v rozsahu 24 hodin včetně zaregulování a zaškolení obsluhy</t>
  </si>
  <si>
    <t>732999001X05</t>
  </si>
  <si>
    <t>https://podminky.urs.cz/item/CS_URS_2022_02/732420812</t>
  </si>
  <si>
    <t>1424395570</t>
  </si>
  <si>
    <t>Demontáž čerpadel oběhových spirálních (do potrubí) DN 40</t>
  </si>
  <si>
    <t>732420812</t>
  </si>
  <si>
    <t>https://podminky.urs.cz/item/CS_URS_2022_02/732420811</t>
  </si>
  <si>
    <t>-679528271</t>
  </si>
  <si>
    <t>Demontáž čerpadel oběhových spirálních (do potrubí) DN 25</t>
  </si>
  <si>
    <t>732420811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</si>
  <si>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</si>
  <si>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https://podminky.urs.cz/item/CS_URS_2022_02/998732193</t>
  </si>
  <si>
    <t>-373883873</t>
  </si>
  <si>
    <t>Přesun hmot pro strojovny stanovený z hmotnosti přesunovaného materiálu Příplatek k cenám za zvětšený přesun přes vymezenou největší dopravní vzdálenost do 500 m</t>
  </si>
  <si>
    <t>998732193</t>
  </si>
  <si>
    <t>https://podminky.urs.cz/item/CS_URS_2022_02/998732102</t>
  </si>
  <si>
    <t>1516923741</t>
  </si>
  <si>
    <t>Přesun hmot pro strojovny stanovený z hmotnosti přesunovaného materiálu vodorovná dopravní vzdálenost do 50 m v objektech výšky přes 6 do 12 m</t>
  </si>
  <si>
    <t>998732102</t>
  </si>
  <si>
    <t>1655343951</t>
  </si>
  <si>
    <t>Oběhové čerpadlo elektronicky regulovatelné závitové G 1“ 230V/50Hz Pmax=92 W Q = 3,5 m3/hod. H= 4,9 m (3,1 m) pro křivku PP3 (1 ks rezerva)</t>
  </si>
  <si>
    <t>426112041X07</t>
  </si>
  <si>
    <t>https://podminky.urs.cz/item/CS_URS_2022_02/732429212</t>
  </si>
  <si>
    <t>681127132</t>
  </si>
  <si>
    <t>Čerpadla teplovodní montáž čerpadel (do potrubí) ostatních typů mokroběžných závitových DN 25</t>
  </si>
  <si>
    <t>732429212</t>
  </si>
  <si>
    <t>151090056</t>
  </si>
  <si>
    <t>Oběhové čerpadlo elektronicky regulovatelné závitové G 1“ 230V/50Hz Pmax=34 W Q = 1,8 (2,0) m3/hod. H= 3,4 m (3,1 m) pro křivku PP3 (1 ks rezerva shodná pro větve nebo směšovací uzel)</t>
  </si>
  <si>
    <t>426112021X07</t>
  </si>
  <si>
    <t>-1440076906</t>
  </si>
  <si>
    <t>-156451495</t>
  </si>
  <si>
    <t>Servomotor s adaptérem pro závitový směšovač včetně montážní sady (24 V řídící signál 0-10 V)</t>
  </si>
  <si>
    <t>426950511X06</t>
  </si>
  <si>
    <t>-380506888</t>
  </si>
  <si>
    <t>Montáž servopohonu na trojcestný závitový směšovač regulačního uzlu vzduchotechniky</t>
  </si>
  <si>
    <t>732499111X05</t>
  </si>
  <si>
    <t>-16797863</t>
  </si>
  <si>
    <t>Směšovací uzel pro vzduchotechniku G 1“ oběhové čerpadlo s elektronicky regulovatelnými otáčkami G 1“ (230V, PN10, Q= 1,55 m3/h, H=3,9 m pro křivku PP3) trojcestný směšovač kvs=8 kulové kohouty zpětná klapka teploměry stavitelný bypass filtr ohebné nerez hadice a připojovací příslušenství</t>
  </si>
  <si>
    <t>426114441X04</t>
  </si>
  <si>
    <t>1038324469</t>
  </si>
  <si>
    <t>Směšovací uzel pro vzduchotechniku G 1“ oběhové čerpadlo s elektronicky regulovatelnými otáčkami G 1“ (230V, PN10, Q= 0,5 m3/h, H=2,3 m pro křivku PP3) trojcestný směšovač kvs=2,5 kulové kohouty zpětná klapka teploměry stavitelný bypass filtr ohebné nerez hadice a připojovací příslušenství</t>
  </si>
  <si>
    <t>426114431X03</t>
  </si>
  <si>
    <t>998651338</t>
  </si>
  <si>
    <t>Montáž směšovacího uzlu pro vzduchotechniku závitové G 1"</t>
  </si>
  <si>
    <t>732429312X02</t>
  </si>
  <si>
    <t>-1492173020</t>
  </si>
  <si>
    <t>Orientační štítky</t>
  </si>
  <si>
    <t>283201121X01</t>
  </si>
  <si>
    <t>https://podminky.urs.cz/item/CS_URS_2022_02/732199100</t>
  </si>
  <si>
    <t>292130428</t>
  </si>
  <si>
    <t>Montáž štítků orientačních</t>
  </si>
  <si>
    <t>732199100</t>
  </si>
  <si>
    <t>Ústřední vytápění - strojovny</t>
  </si>
  <si>
    <t>732</t>
  </si>
  <si>
    <t>36,00         "demontované nefunkční potrubí v chodbě  1.PP</t>
  </si>
  <si>
    <t>https://podminky.urs.cz/item/CS_URS_2022_02/713420841</t>
  </si>
  <si>
    <t>-1383607789</t>
  </si>
  <si>
    <t>Odstranění tepelné izolace potrubí, ohybů, armatur a přírub rohožemi v pletivu s povrchovou úpravou pletivem spojených ocelovým drátem potrubí, tloušťka izolace do 50 mm</t>
  </si>
  <si>
    <t>713420841</t>
  </si>
  <si>
    <t>5,00+15,00</t>
  </si>
  <si>
    <t>-695137129</t>
  </si>
  <si>
    <t>4,00           "rozdělovač a sběrač HVDT</t>
  </si>
  <si>
    <t>https://podminky.urs.cz/item/CS_URS_2022_02/713300843</t>
  </si>
  <si>
    <t>-877148542</t>
  </si>
  <si>
    <t>Odstranění tepelné izolace těles povrchové úpravy pevné izolace jakékoliv tloušťky (bez řezání ocelové konstrukce plamenem) z vláknitých materiálů bez konstrukce s povrchovou úpravou</t>
  </si>
  <si>
    <t>713300843</t>
  </si>
  <si>
    <t>https://podminky.urs.cz/item/CS_URS_2022_02/998713192</t>
  </si>
  <si>
    <t>716011180</t>
  </si>
  <si>
    <t>Přesun hmot pro izolace tepelné stanovený z hmotnosti přesunovaného materiálu Příplatek k cenám za zvětšený přesun přes vymezenou největší dopravní vzdálenost do 100 m</t>
  </si>
  <si>
    <t>998713192</t>
  </si>
  <si>
    <t>https://podminky.urs.cz/item/CS_URS_2022_02/998713102</t>
  </si>
  <si>
    <t>691761476</t>
  </si>
  <si>
    <t>Přesun hmot pro izolace tepelné stanovený z hmotnosti přesunovaného materiálu vodorovná dopravní vzdálenost do 50 m v objektech výšky přes 6 m do 12 m</t>
  </si>
  <si>
    <t>998713102</t>
  </si>
  <si>
    <t>880882749</t>
  </si>
  <si>
    <t>vkastní</t>
  </si>
  <si>
    <t>Tepelně izolační lamelový skružovaný pás z minerálních vláken s Al fólií (OH 65 až 80 kg/m3 MST 250°C/100°C) tl.50 mm</t>
  </si>
  <si>
    <t>631550211X32</t>
  </si>
  <si>
    <t>-2074036391</t>
  </si>
  <si>
    <t>Montáž izolace tepelné z MW zařízení HVDT rozdělovač a sběrač pásy nebo rohožemi jednovrstvé s přelepením spojů</t>
  </si>
  <si>
    <t>713311412X31</t>
  </si>
  <si>
    <t>1713699957</t>
  </si>
  <si>
    <t>Potrubní izolační pouzdro z minerálních vláken s Al fólií tl. 60 mm (OH 65 až 80 kg/m3 MST 250°C/100°C) průměr 89 mm</t>
  </si>
  <si>
    <t>63177774X30</t>
  </si>
  <si>
    <t>-1880669862</t>
  </si>
  <si>
    <t xml:space="preserve">Montáž tepelné izolace průměr 89 mm nasunutím s přelepením spojů </t>
  </si>
  <si>
    <t>713463534X29</t>
  </si>
  <si>
    <t>-1442476161</t>
  </si>
  <si>
    <t>Potrubní izolační pouzdro z minerálních vláken s Al fólií tl. 30 mm (OH 65 až 80 kg/m3 MST 250°C/100°C) průměr 60-61 mm</t>
  </si>
  <si>
    <t>63177773X26</t>
  </si>
  <si>
    <t>2044582395</t>
  </si>
  <si>
    <t xml:space="preserve">Montáž tepelné izolace průměr 60-61 mm nasunutím s přelepením spojů </t>
  </si>
  <si>
    <t>713463532X25</t>
  </si>
  <si>
    <t>340603851</t>
  </si>
  <si>
    <t>Potrubní izolační pouzdro z minerálních vláken s Al fólií tl. 50 mm (OH 65 až 80 kg/m3 MST 250°C/100°C) průměr 60-61 mm</t>
  </si>
  <si>
    <t>63177772X24</t>
  </si>
  <si>
    <t>-1717763141</t>
  </si>
  <si>
    <t>713463531X23</t>
  </si>
  <si>
    <t>-2023524675</t>
  </si>
  <si>
    <t>Potrubní izolační pouzdro z minerálních vláken s Al fólií tl. 40 mm (OH 65 až 100 kg/m3 MST 250°C/100°C) průměr 48-49 mm</t>
  </si>
  <si>
    <t>63177771X22</t>
  </si>
  <si>
    <t>-408526007</t>
  </si>
  <si>
    <t xml:space="preserve">Montáž tepelné izolace průměr 48-49 mm nasunutím s přelepením spojů </t>
  </si>
  <si>
    <t>713463530X21</t>
  </si>
  <si>
    <t>-1526441164</t>
  </si>
  <si>
    <t>Potrubní izolační pouzdro z minerálních vláken s Al fólií tl. 30 mm (OH 65 až 80 kg/m3 MST 250°C/100°C) průměr 42 mm</t>
  </si>
  <si>
    <t>63177770X20</t>
  </si>
  <si>
    <t>-768089700</t>
  </si>
  <si>
    <t xml:space="preserve">Montáž tepelné izolace průměr 42 mm nasunutím s přelepením spojů </t>
  </si>
  <si>
    <t>713463529X19</t>
  </si>
  <si>
    <t>507818319</t>
  </si>
  <si>
    <t>Potrubní izolační pouzdro z minerálních vláken s Al fólií tl. 30 mm (OH 65 až 80 kg/m3 MST 250°C/100°C) průměr 35 mm</t>
  </si>
  <si>
    <t>63177769X18</t>
  </si>
  <si>
    <t>1713120984</t>
  </si>
  <si>
    <t xml:space="preserve">Montáž tepelné izolace průměr 35 mm nasunutím s přelepením spojů </t>
  </si>
  <si>
    <t>713463528X17</t>
  </si>
  <si>
    <t>-836776589</t>
  </si>
  <si>
    <t>Potrubní izolační pouzdro z minerálních vláken s Al fólií tl. 20 mm (OH 65 až 80 kg/m3 MST 250°C/100°C) průměr 28 mm</t>
  </si>
  <si>
    <t>63177768X16</t>
  </si>
  <si>
    <t>-1882627038</t>
  </si>
  <si>
    <t xml:space="preserve">Montáž tepelné izolace průměr 28 mm nasunutím s přelepením spojů </t>
  </si>
  <si>
    <t>713463527X15</t>
  </si>
  <si>
    <t>-1812531919</t>
  </si>
  <si>
    <t>Potrubní izolační pouzdro z minerálních vláken s Al fólií tl. 20 mm (OH 65 až 80 kg/m3 MST 250°C/100°C) průměr 22 mm</t>
  </si>
  <si>
    <t>63177767X14</t>
  </si>
  <si>
    <t>1294952429</t>
  </si>
  <si>
    <t xml:space="preserve">Montáž tepelné izolace průměr 22 mm nasunutím s přelepením spojů </t>
  </si>
  <si>
    <t>713463526X13</t>
  </si>
  <si>
    <t>Izolace tepelné</t>
  </si>
  <si>
    <t>713</t>
  </si>
  <si>
    <t>Práce a dodávky PSV</t>
  </si>
  <si>
    <t>PSV</t>
  </si>
  <si>
    <t>1,030-0,314</t>
  </si>
  <si>
    <t xml:space="preserve">Poznámka k souboru cen:_x000D_
1. Ceny uvedené v souboru cen je doporučeno upravit podle aktuálních cen místně příslušné skládky odpadů._x000D_
2. Uložení odpadů neuvedených v souboru cen se oceňuje individuálně._x000D_
</t>
  </si>
  <si>
    <t>https://podminky.urs.cz/item/CS_URS_2022_02/997013871</t>
  </si>
  <si>
    <t>233429097</t>
  </si>
  <si>
    <t>Poplatek za uložení stavebního odpadu na recyklační skládce (skládkovné) směsného stavebního a demoličního zatříděného do Katalogu odpadů pod kódem 17 09 04</t>
  </si>
  <si>
    <t>997013871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</si>
  <si>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</si>
  <si>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https://podminky.urs.cz/item/CS_URS_2022_02/997013814</t>
  </si>
  <si>
    <t>1577294299</t>
  </si>
  <si>
    <t>Poplatek za uložení stavebního odpadu na skládce (skládkovné) z izolačních materiálů zatříděného do Katalogu odpadů pod kódem 17 06 04</t>
  </si>
  <si>
    <t>997013814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</si>
  <si>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 souboru cen Odvoz suti a vybouraných hmot na skládku nebo meziskládku._x000D_
</t>
  </si>
  <si>
    <t>https://podminky.urs.cz/item/CS_URS_2022_02/997013511</t>
  </si>
  <si>
    <t>-1700191889</t>
  </si>
  <si>
    <t>Odvoz suti a vybouraných hmot z meziskládky na skládku s naložením a se složením, na vzdálenost do 1 km</t>
  </si>
  <si>
    <t>997013511</t>
  </si>
  <si>
    <t>1,030*9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</si>
  <si>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</si>
  <si>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https://podminky.urs.cz/item/CS_URS_2022_02/997013509</t>
  </si>
  <si>
    <t>476760524</t>
  </si>
  <si>
    <t>Odvoz suti a vybouraných hmot na skládku nebo meziskládku se složením, na vzdálenost Příplatek k ceně za každý další i započatý 1 km přes 1 km</t>
  </si>
  <si>
    <t>997013509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</si>
  <si>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</si>
  <si>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https://podminky.urs.cz/item/CS_URS_2022_02/997013153</t>
  </si>
  <si>
    <t>1650003742</t>
  </si>
  <si>
    <t>Vnitrostaveništní doprava suti a vybouraných hmot vodorovně do 50 m svisle s omezením mechanizace pro budovy a haly výšky přes 9 do 12 m</t>
  </si>
  <si>
    <t>997013153</t>
  </si>
  <si>
    <t>Přesun sutě</t>
  </si>
  <si>
    <t>997</t>
  </si>
  <si>
    <t>(0,50+0,30)*2*6</t>
  </si>
  <si>
    <t>https://podminky.urs.cz/item/CS_URS_2022_02/977311112</t>
  </si>
  <si>
    <t>1552951396</t>
  </si>
  <si>
    <t>Řezání stávajících betonových mazanin bez vyztužení hloubky přes 50 do 100 mm</t>
  </si>
  <si>
    <t>977311112</t>
  </si>
  <si>
    <t>0,10*4</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</si>
  <si>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</si>
  <si>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https://podminky.urs.cz/item/CS_URS_2022_02/977151216</t>
  </si>
  <si>
    <t>1149757663</t>
  </si>
  <si>
    <t>Jádrové vrty diamantovými korunkami do stavebních materiálů (železobetonu, betonu, cihel, obkladů, dlažeb, kamene) dovrchní (směrem vzhůru), průměru přes 70 do 80 mm</t>
  </si>
  <si>
    <t>977151216</t>
  </si>
  <si>
    <t>0,10*2</t>
  </si>
  <si>
    <t>https://podminky.urs.cz/item/CS_URS_2022_02/977151214</t>
  </si>
  <si>
    <t>-794714530</t>
  </si>
  <si>
    <t>Jádrové vrty diamantovými korunkami do stavebních materiálů (železobetonu, betonu, cihel, obkladů, dlažeb, kamene) dovrchní (směrem vzhůru), průměru přes 50 do 60 mm</t>
  </si>
  <si>
    <t>977151214</t>
  </si>
  <si>
    <t>0,50*2</t>
  </si>
  <si>
    <t>https://podminky.urs.cz/item/CS_URS_2022_02/977151116</t>
  </si>
  <si>
    <t>-276262600</t>
  </si>
  <si>
    <t>Jádrové vrty diamantovými korunkami do stavebních materiálů (železobetonu, betonu, cihel, obkladů, dlažeb, kamene) průměru přes 70 do 80 mm</t>
  </si>
  <si>
    <t>977151116</t>
  </si>
  <si>
    <t>0,50*0,30*0,10*6</t>
  </si>
  <si>
    <t>https://podminky.urs.cz/item/CS_URS_2022_02/965043321</t>
  </si>
  <si>
    <t>-2002436157</t>
  </si>
  <si>
    <t>m3</t>
  </si>
  <si>
    <t>Bourání mazanin betonových s potěrem nebo teracem tl. do 100 mm, plochy do 1 m2</t>
  </si>
  <si>
    <t>965043321</t>
  </si>
  <si>
    <t>Ostatní konstrukce a práce, bourání</t>
  </si>
  <si>
    <t>Práce a dodávky HSV</t>
  </si>
  <si>
    <t>HSV</t>
  </si>
  <si>
    <t xml:space="preserve">    783 - Dokončovací práce - nátěry</t>
  </si>
  <si>
    <t xml:space="preserve">    735 - Ústřední vytápění - otopná tělesa</t>
  </si>
  <si>
    <t xml:space="preserve">    734 - Ústřední vytápění - armatury</t>
  </si>
  <si>
    <t xml:space="preserve">    733 - Ústřední vytápění - rozvodné potrubí</t>
  </si>
  <si>
    <t xml:space="preserve">    732 - Ústřední vytápění - strojovny</t>
  </si>
  <si>
    <t xml:space="preserve">    713 - Izolace tepelné</t>
  </si>
  <si>
    <t>PSV - Práce a dodávky PSV</t>
  </si>
  <si>
    <t xml:space="preserve">    997 - Přesun sutě</t>
  </si>
  <si>
    <t xml:space="preserve">    9 - Ostatní konstrukce a práce, bourání</t>
  </si>
  <si>
    <t>HSV - Práce a dodávky HSV</t>
  </si>
  <si>
    <t>Náklady stavby celkem</t>
  </si>
  <si>
    <t>PŘESNÝ POPIS JEDNOTLIVÝCH POLOŽEK VIZ TECHNICKÁ SPECIFIKACE VYTÁPĚNÍ</t>
  </si>
  <si>
    <t>KIP s.r.o.Litomyšl projektant části:Ing.LiborSauer</t>
  </si>
  <si>
    <t>801 61 13</t>
  </si>
  <si>
    <t>D.1.4.2 - Zařízení pro vytápění staveb</t>
  </si>
  <si>
    <t>{ba46fcd1-a7e4-4628-8108-377cf2e1b3ad}</t>
  </si>
  <si>
    <t>185</t>
  </si>
  <si>
    <t>183</t>
  </si>
  <si>
    <t>181</t>
  </si>
  <si>
    <t>179</t>
  </si>
  <si>
    <t>177</t>
  </si>
  <si>
    <t>175</t>
  </si>
  <si>
    <t>173</t>
  </si>
  <si>
    <t>171</t>
  </si>
  <si>
    <t>169</t>
  </si>
  <si>
    <t>167</t>
  </si>
  <si>
    <t>165</t>
  </si>
  <si>
    <t>141</t>
  </si>
  <si>
    <t>721</t>
  </si>
  <si>
    <t>samostatný rozpočet</t>
  </si>
  <si>
    <t>M22001</t>
  </si>
  <si>
    <t>D.1.4.4_</t>
  </si>
  <si>
    <t>D.1.4.4_9_</t>
  </si>
  <si>
    <t>M22001_</t>
  </si>
  <si>
    <t>D.1.4.4</t>
  </si>
  <si>
    <t>Vlastní</t>
  </si>
  <si>
    <t>MĚŘENÍ A REGULACE</t>
  </si>
  <si>
    <t>220000001VD</t>
  </si>
  <si>
    <t xml:space="preserve"> </t>
  </si>
  <si>
    <t>Stožáry</t>
  </si>
  <si>
    <t>M24001</t>
  </si>
  <si>
    <t>D.1.4.3_</t>
  </si>
  <si>
    <t>D.1.4.3_9_</t>
  </si>
  <si>
    <t>M24001_</t>
  </si>
  <si>
    <t>D.1.4.3</t>
  </si>
  <si>
    <t>kpl</t>
  </si>
  <si>
    <t>Vzduchotechnika</t>
  </si>
  <si>
    <t>240000001VD</t>
  </si>
  <si>
    <t>Ventilátory</t>
  </si>
  <si>
    <t>VZDUCHOTECHNIKA  A CHLAZENÍ</t>
  </si>
  <si>
    <t>D.1.4.2_</t>
  </si>
  <si>
    <t>D.1.4.2_73_</t>
  </si>
  <si>
    <t>73_</t>
  </si>
  <si>
    <t>D.1.4.2</t>
  </si>
  <si>
    <t>ZAŘÍZENÍ PRO VYTÁPĚNÍ STAVEB</t>
  </si>
  <si>
    <t>730000001VD</t>
  </si>
  <si>
    <t>Ústřední vytápění</t>
  </si>
  <si>
    <t>SAMOSTATNÝ ROZPOČET</t>
  </si>
  <si>
    <t>M74</t>
  </si>
  <si>
    <t>D.1.4.1_</t>
  </si>
  <si>
    <t>D.1.4.1_9_</t>
  </si>
  <si>
    <t>M74_</t>
  </si>
  <si>
    <t>D.1.4.1</t>
  </si>
  <si>
    <t>Elektroinstalace</t>
  </si>
  <si>
    <t>740000001VD</t>
  </si>
  <si>
    <t>Elektromontážní práce (silnoproud)</t>
  </si>
  <si>
    <t>SILNOPROUDÁ ELEKTROTECHNIKA</t>
  </si>
  <si>
    <t>0,53</t>
  </si>
  <si>
    <t>S</t>
  </si>
  <si>
    <t>D.1.1_</t>
  </si>
  <si>
    <t>D.1.1_9_</t>
  </si>
  <si>
    <t>S_</t>
  </si>
  <si>
    <t>D.1.1</t>
  </si>
  <si>
    <t>RTS I / 2022</t>
  </si>
  <si>
    <t>Výkup kovů - železný šrot tl. do 4 mm</t>
  </si>
  <si>
    <t>979951111R00</t>
  </si>
  <si>
    <t>15,67</t>
  </si>
  <si>
    <t>RTS II / 2020</t>
  </si>
  <si>
    <t>Poplatek za skládku stavební suti</t>
  </si>
  <si>
    <t>979990001R00</t>
  </si>
  <si>
    <t>16,2</t>
  </si>
  <si>
    <t>Nakládání nebo překládání suti a vybouraných hmot</t>
  </si>
  <si>
    <t>979086112R00</t>
  </si>
  <si>
    <t>16,2*10</t>
  </si>
  <si>
    <t>Příplatek k vodor.dopravě po suchu, dalších 1000 m</t>
  </si>
  <si>
    <t>979082319R00</t>
  </si>
  <si>
    <t>15,67+0,53</t>
  </si>
  <si>
    <t>Vodorovná doprava suti a hmot po suchu do 6000 m</t>
  </si>
  <si>
    <t>979082318R00</t>
  </si>
  <si>
    <t>9,39+6,28</t>
  </si>
  <si>
    <t>Svislá doprava suti a vybour. hmot za 2.NP a 1.PP</t>
  </si>
  <si>
    <t>979011111R00</t>
  </si>
  <si>
    <t>Přesuny sutí</t>
  </si>
  <si>
    <t>H99</t>
  </si>
  <si>
    <t>H99_</t>
  </si>
  <si>
    <t>Přesun hmot pro opravy a údržbu do výšky 25 m</t>
  </si>
  <si>
    <t>999281111R00</t>
  </si>
  <si>
    <t>Ostatní přesuny hmot</t>
  </si>
  <si>
    <t>;půda; 8</t>
  </si>
  <si>
    <t>97_</t>
  </si>
  <si>
    <t>Vysekání kapes zeď cih, MVC pl. 0,16 m2, hl. 15 cm</t>
  </si>
  <si>
    <t>973031334R00</t>
  </si>
  <si>
    <t>Vybourání otv. stropy ŽB pl. 0,25 m2, tl. 15 cm</t>
  </si>
  <si>
    <t>972054341R00</t>
  </si>
  <si>
    <t>;2.np; 4</t>
  </si>
  <si>
    <t>Vybourání otv. stropy ŽB pl. 0,09 m2, tl. 15 cm</t>
  </si>
  <si>
    <t>972054241R00</t>
  </si>
  <si>
    <t>;2.np; 2</t>
  </si>
  <si>
    <t>Vybourání otv. zeď cihel. pl.0,25 m2, tl.15cm, MVC</t>
  </si>
  <si>
    <t>971033431R00</t>
  </si>
  <si>
    <t>;2.np; 3</t>
  </si>
  <si>
    <t>Vybourání otv. zeď cihel. pl.0,25 m2, tl.45cm, MVC</t>
  </si>
  <si>
    <t>971033451R00</t>
  </si>
  <si>
    <t>;půda; 1,3*3</t>
  </si>
  <si>
    <t>;2.np; 1,05*3*3</t>
  </si>
  <si>
    <t>Vysekání rýh ve zdi cihelné 15 x 15 cm</t>
  </si>
  <si>
    <t>974031164R00</t>
  </si>
  <si>
    <t>Vybourání otvorů zeď cihel. d=6 cm, tl. 60 cm, MVC</t>
  </si>
  <si>
    <t>971033161R00</t>
  </si>
  <si>
    <t>1,2*2,2-0,8*2,15+0,5*(2,15*2+0,97)</t>
  </si>
  <si>
    <t>Otlučení omítek vnějších MVC v složit.1-4 do 100 %</t>
  </si>
  <si>
    <t>978015291R00</t>
  </si>
  <si>
    <t>;okno angl. dvorek; 0,6*1,0*4</t>
  </si>
  <si>
    <t>2,75*(4,3*2+3,8*2)</t>
  </si>
  <si>
    <t>2,25*1,8-0,8*2,15</t>
  </si>
  <si>
    <t>Otlučení omítek vnitřních stěn v rozsahu do 100 %</t>
  </si>
  <si>
    <t>978013191R00</t>
  </si>
  <si>
    <t>;vybourání montážního otvoru; 0,83*2,25*0,6</t>
  </si>
  <si>
    <t>Vybourání otv. zeď cihel. pl.4 m2, tl.60 cm, MVC</t>
  </si>
  <si>
    <t>971033651R00</t>
  </si>
  <si>
    <t>Prorážení otvorů a ostatní bourací práce</t>
  </si>
  <si>
    <t>0,5*2,1</t>
  </si>
  <si>
    <t>96_</t>
  </si>
  <si>
    <t>Přisekání rovných ostění cihelných na MVC</t>
  </si>
  <si>
    <t>967031132R00</t>
  </si>
  <si>
    <t>0,9*1,97*3</t>
  </si>
  <si>
    <t>Vybourání kovových dveřních zárubní pl. do 2 m2</t>
  </si>
  <si>
    <t>968072455R00</t>
  </si>
  <si>
    <t>Vyvěšení dřevěných dveřních křídel pl. do 2 m2</t>
  </si>
  <si>
    <t>968061125R00</t>
  </si>
  <si>
    <t>;2.np; 0,4*0,6*0,15*2+0,4*0,4*0,15</t>
  </si>
  <si>
    <t>Bourání mazanin betonových tl. 10 cm, pl. 1 m2</t>
  </si>
  <si>
    <t>965042121R00</t>
  </si>
  <si>
    <t>;2.np; 0,4*0,6*2+0,4*0,4</t>
  </si>
  <si>
    <t>Bourání dlažeb keramických tl.10 mm, pl. do 1 m2</t>
  </si>
  <si>
    <t>965081712R00</t>
  </si>
  <si>
    <t>;2.np; 0,8*0,6+0,8*0,8+0,8*0,6+0,4*0,8+2,0</t>
  </si>
  <si>
    <t>;1.np; 2,9</t>
  </si>
  <si>
    <t>;1s; 1,1*1,1</t>
  </si>
  <si>
    <t>včetně demontáže VZT výústek</t>
  </si>
  <si>
    <t>DMTZ podhledu SDK,2úrov.kříž.rošt,1xoplášť.12,5 mm</t>
  </si>
  <si>
    <t>963016151R00</t>
  </si>
  <si>
    <t>0,3*4,5*0,1</t>
  </si>
  <si>
    <t>Bourání podkladů bet., potěr tl. 10 cm, pl. 4 m2</t>
  </si>
  <si>
    <t>965043331R00</t>
  </si>
  <si>
    <t>;beton pro napojení kanalizace; 0,5*4,5*0,1</t>
  </si>
  <si>
    <t>Bourání mazanin betonových  tl. 10 cm, pl. 4 m2</t>
  </si>
  <si>
    <t>965042131R00</t>
  </si>
  <si>
    <t>0,66*4,5+0,66*(4,3+1,7+2,1)</t>
  </si>
  <si>
    <t>Bourání dlažeb keramických tl.10 mm, nad 1 m2</t>
  </si>
  <si>
    <t>965081713R00</t>
  </si>
  <si>
    <t>0,85*0,85</t>
  </si>
  <si>
    <t>Vybourání plastových oken do 1 m2</t>
  </si>
  <si>
    <t>968083001R00</t>
  </si>
  <si>
    <t>0,97*2,25</t>
  </si>
  <si>
    <t>Vybourání plastových dveří plných pl. do 2 m2</t>
  </si>
  <si>
    <t>968083021R00</t>
  </si>
  <si>
    <t>;1S; 2,85*(4,3+0,15+1,6+0,15+2,1)</t>
  </si>
  <si>
    <t>Bourání příček z cihel pálených plných tl. 140 mm</t>
  </si>
  <si>
    <t>962031116R00</t>
  </si>
  <si>
    <t>Bourání konstrukcí</t>
  </si>
  <si>
    <t>OSB, dveře na zámek, rám z latí</t>
  </si>
  <si>
    <t>95_</t>
  </si>
  <si>
    <t>Provizorní zakrytí montážního otvoru</t>
  </si>
  <si>
    <t>950000140VD</t>
  </si>
  <si>
    <t>D+M + demontáž</t>
  </si>
  <si>
    <t>Plenta  proti prachu</t>
  </si>
  <si>
    <t>950000021VD</t>
  </si>
  <si>
    <t>60,9+27,3+45,41</t>
  </si>
  <si>
    <t>20+33,0+46,44+2,0+16,2+20,7+35,1+151,9+39,0+10,73+3,0</t>
  </si>
  <si>
    <t>Vyčištění budov o výšce podlaží do 4 m</t>
  </si>
  <si>
    <t>952901111R00</t>
  </si>
  <si>
    <t>Objímka dvoušroubová 133-141 mm  5"</t>
  </si>
  <si>
    <t>42310126</t>
  </si>
  <si>
    <t>;uchycení potrubí ke stropu;  15</t>
  </si>
  <si>
    <t>Osazení držáků nebo objímek ve zdivu betonovém</t>
  </si>
  <si>
    <t>953941721R00</t>
  </si>
  <si>
    <t>Různé dokončovací konstrukce a práce na pozemních stavbách</t>
  </si>
  <si>
    <t>;půda; 46,67*2+34,1+0,5*(2,1*12+1,5*6)</t>
  </si>
  <si>
    <t>;2.np; 2+16+15,5+2+2,2+20,7+10,7</t>
  </si>
  <si>
    <t>;1.np; 3,9</t>
  </si>
  <si>
    <t>;1s; 2,75*(6,0+4,4*2+3,5*2)+60,9+10,0</t>
  </si>
  <si>
    <t>1barevná, 2x nátěr, 1x penetrace</t>
  </si>
  <si>
    <t>D.1.1_78_</t>
  </si>
  <si>
    <t>784_</t>
  </si>
  <si>
    <t>Malba disperzní interiér.k,výška do 3,8 m</t>
  </si>
  <si>
    <t>784442001RT2</t>
  </si>
  <si>
    <t>511,68</t>
  </si>
  <si>
    <t>včetně papírové lepenky</t>
  </si>
  <si>
    <t>Zakrytí podlah</t>
  </si>
  <si>
    <t>784011222RT2</t>
  </si>
  <si>
    <t>Malby</t>
  </si>
  <si>
    <t>784</t>
  </si>
  <si>
    <t>;prvky krovu; 541+424+39+32+48+125+56</t>
  </si>
  <si>
    <t>Širokospektrální koncentrovaný fungicidní a insekticidní vodou ředitelný přípravek určený pro dlouhodobou preventivní ochranu, se zvýšenou odolností proti vymývání ze dřeva. 5v1 proti termitům, dřevokaznému hmyzu, dřevokazným houbám, dřevozbarvujícím houbám a plísním.</t>
  </si>
  <si>
    <t>783_</t>
  </si>
  <si>
    <t>Nátěr tesařských konstrukcí  2x</t>
  </si>
  <si>
    <t>783782221R00</t>
  </si>
  <si>
    <t>2 x email, odmaštění, obroušení</t>
  </si>
  <si>
    <t>Nátěr zárubní</t>
  </si>
  <si>
    <t>783000006VD</t>
  </si>
  <si>
    <t>(0,16*2+0,082*2+0,072*2)*(6,5*4+4,5*2)+(0,12*2+0,064*2+0,054*2)*(0,96*6)</t>
  </si>
  <si>
    <t>;ocel. nosníky půda; 1,1*1,35*2</t>
  </si>
  <si>
    <t>;kce venk. jednotka střecha; (0,1*2+0,05*2+0,04*2)*(3,0*2+0,65*2)</t>
  </si>
  <si>
    <t>;ochranná trubka; 0,33*2,0</t>
  </si>
  <si>
    <t>;kce pod venk. jednotky; (0,12*2+0,055*2+0,048*2)*7,2+0,205*0,205*4</t>
  </si>
  <si>
    <t>Odrezivění kovových konstrukcí</t>
  </si>
  <si>
    <t>783904811R00</t>
  </si>
  <si>
    <t>Odmaštění chemickými rozpouštědly</t>
  </si>
  <si>
    <t>783903811R00</t>
  </si>
  <si>
    <t>2 v1 na železo S 2160</t>
  </si>
  <si>
    <t>Údržba, nátěr syntetický kov.konstr. 2x</t>
  </si>
  <si>
    <t>783222931RT1</t>
  </si>
  <si>
    <t>Metalizace zinkem tl. 80-100 mikrometrů</t>
  </si>
  <si>
    <t>783181121R00</t>
  </si>
  <si>
    <t>Nátěry</t>
  </si>
  <si>
    <t>D.1.1_77_</t>
  </si>
  <si>
    <t>776_</t>
  </si>
  <si>
    <t>Přesun hmot pro podlahy povlakové, výšky do 12 m</t>
  </si>
  <si>
    <t>998776102R00</t>
  </si>
  <si>
    <t>17,1+12,1+0,4*30+0,4*21</t>
  </si>
  <si>
    <t>včetně svařovací šňůry PVC 1179</t>
  </si>
  <si>
    <t>Svařování povlakových podlah z pásů nebo čtverců</t>
  </si>
  <si>
    <t>776994111RT1</t>
  </si>
  <si>
    <t>11,68</t>
  </si>
  <si>
    <t>Provedení penetrace podkladu pod.povlak.podlahy</t>
  </si>
  <si>
    <t>776101121R00</t>
  </si>
  <si>
    <t>Vysávání podlah prům.vysavačem pod povlak.podlahy</t>
  </si>
  <si>
    <t>776101101R00</t>
  </si>
  <si>
    <t>31,2</t>
  </si>
  <si>
    <t>včetně dodávky soklíku PVC</t>
  </si>
  <si>
    <t>Lepení podlahových soklíků z PVC a vinylu</t>
  </si>
  <si>
    <t>776421100RU1</t>
  </si>
  <si>
    <t>17,1+0,5*2+12,1+0,5*2</t>
  </si>
  <si>
    <t>odstranění a uložení na hromady</t>
  </si>
  <si>
    <t>Demontáž soklíků nebo lišt, pryžových nebo z PVC</t>
  </si>
  <si>
    <t>776401800RT1</t>
  </si>
  <si>
    <t>;2.np; 17,1*0,4+12,1*0,4</t>
  </si>
  <si>
    <t>včetně čtverců  608/608/1,7 mm</t>
  </si>
  <si>
    <t>Lepení povlakových podlah z dílců PVC a CV (vinyl)</t>
  </si>
  <si>
    <t>776521200RU3</t>
  </si>
  <si>
    <t>z ploch do 10 m2</t>
  </si>
  <si>
    <t>Odstranění PVC a koberců lepených bez podložky</t>
  </si>
  <si>
    <t>776511810RT3</t>
  </si>
  <si>
    <t>Podlahy povlakové</t>
  </si>
  <si>
    <t>776</t>
  </si>
  <si>
    <t>771_</t>
  </si>
  <si>
    <t>Přesun hmot pro podlahy z dlaždic, výšky do 12 m</t>
  </si>
  <si>
    <t>998771102R00</t>
  </si>
  <si>
    <t>;2.np; 2+2</t>
  </si>
  <si>
    <t>;1.np; 1</t>
  </si>
  <si>
    <t>Dodláždění, vyrovnání,</t>
  </si>
  <si>
    <t>Oprava dlažby  cca 300x300 mm</t>
  </si>
  <si>
    <t>771000001VD</t>
  </si>
  <si>
    <t>4,3*2+2,1+2,25+0,2</t>
  </si>
  <si>
    <t>Obklad soklíků keram.rovných, tmel,výška 10 cm</t>
  </si>
  <si>
    <t>771475014R00</t>
  </si>
  <si>
    <t>;ztratné 5%; 0,492</t>
  </si>
  <si>
    <t>8,44+1,4</t>
  </si>
  <si>
    <t>Dlažba matná 300x300x9 mm</t>
  </si>
  <si>
    <t>597642030</t>
  </si>
  <si>
    <t>8,44</t>
  </si>
  <si>
    <t>Montáž podlah keram.,hladké, tmel, 30x30 cm</t>
  </si>
  <si>
    <t>771575109R00</t>
  </si>
  <si>
    <t>penetrační nátěr</t>
  </si>
  <si>
    <t>Penetrace podkladu pod dlažby</t>
  </si>
  <si>
    <t>771101210RT1</t>
  </si>
  <si>
    <t>Vyrovnání podkladů maltou ze SMS tl. do 10 mm</t>
  </si>
  <si>
    <t>771101111R00</t>
  </si>
  <si>
    <t>0,66*(4,6+4,3+1,7+2,2)</t>
  </si>
  <si>
    <t>Vysávání podlah prům.vysavačem pro pokládku dlažby</t>
  </si>
  <si>
    <t>771101101R00</t>
  </si>
  <si>
    <t>Podlahy z dlaždic</t>
  </si>
  <si>
    <t>771</t>
  </si>
  <si>
    <t>D.1.1_76_</t>
  </si>
  <si>
    <t>767_</t>
  </si>
  <si>
    <t>Přesun hmot pro zámečnické konstr., výšky do 12 m</t>
  </si>
  <si>
    <t>998767102R00</t>
  </si>
  <si>
    <t>;D10, D11; 2</t>
  </si>
  <si>
    <t>Zavírač dveří hydraulický</t>
  </si>
  <si>
    <t>54917030</t>
  </si>
  <si>
    <t>Montáž doplňků dveří, samozavírače hydraulického</t>
  </si>
  <si>
    <t>767649191R00</t>
  </si>
  <si>
    <t>;1s 10%; 5,0</t>
  </si>
  <si>
    <t>Podhled minerální kazetový</t>
  </si>
  <si>
    <t>767586201R00</t>
  </si>
  <si>
    <t>16,0</t>
  </si>
  <si>
    <t>modul 60 x 60 cm (kazety)</t>
  </si>
  <si>
    <t>Nosný rošt podhledu</t>
  </si>
  <si>
    <t>767586101RT1</t>
  </si>
  <si>
    <t>35,9</t>
  </si>
  <si>
    <t>Montáž podhledů kazetových, 60x60 nad 20 m2</t>
  </si>
  <si>
    <t>767584153R00</t>
  </si>
  <si>
    <t>;1s; 16</t>
  </si>
  <si>
    <t>Demontáž podhledů - roštů</t>
  </si>
  <si>
    <t>767582800R00</t>
  </si>
  <si>
    <t>;1s; 35,9</t>
  </si>
  <si>
    <t>Demontáž podhledů - kazet</t>
  </si>
  <si>
    <t>767581801R00</t>
  </si>
  <si>
    <t>;zpětná montáž schodiště a zábradlí; 400</t>
  </si>
  <si>
    <t>kg</t>
  </si>
  <si>
    <t>Montáž podest z ocelového rýhovaného plechu</t>
  </si>
  <si>
    <t>767251111R00</t>
  </si>
  <si>
    <t>;demontáž schodů včetně zábradalí; 400</t>
  </si>
  <si>
    <t>Demontáž atypických ocelových konstr. do 500 kg</t>
  </si>
  <si>
    <t>767996804R00</t>
  </si>
  <si>
    <t>0,2*0,2*64*2*1,2/1000</t>
  </si>
  <si>
    <t>Plech hladký jakost S235  8x1000x2000 mm</t>
  </si>
  <si>
    <t>13611224</t>
  </si>
  <si>
    <t>;ztratné 3%; 0,0028944</t>
  </si>
  <si>
    <t>13,4*7,2/1000</t>
  </si>
  <si>
    <t>Tyč průřezu U 120, střední, jakost oceli S235</t>
  </si>
  <si>
    <t>13384430</t>
  </si>
  <si>
    <t>;podpůrná kce venk. jednotky; 99</t>
  </si>
  <si>
    <t>Výroba a montáž kov. atypických konstr. do 100 kg</t>
  </si>
  <si>
    <t>767995105R00</t>
  </si>
  <si>
    <t>Konstrukce doplňkové stavební (zámečnické)</t>
  </si>
  <si>
    <t>767</t>
  </si>
  <si>
    <t>766_</t>
  </si>
  <si>
    <t>Přesun hmot pro truhlářské konstr., výšky do 12 m</t>
  </si>
  <si>
    <t>998766102R00</t>
  </si>
  <si>
    <t>;půda; 1</t>
  </si>
  <si>
    <t>D+M</t>
  </si>
  <si>
    <t>Dřevěný stupeň 150/300/1000</t>
  </si>
  <si>
    <t>766000171VD</t>
  </si>
  <si>
    <t>;O04;  0,82*0,82</t>
  </si>
  <si>
    <t>Specifikace dle výpisu PSV !!!!!!!!,</t>
  </si>
  <si>
    <t>Okno  plastové, U = 1,1</t>
  </si>
  <si>
    <t>766000080VD</t>
  </si>
  <si>
    <t>;SO2; 1</t>
  </si>
  <si>
    <t>Výlez střešní   86 x 86 cm s lemováním ES</t>
  </si>
  <si>
    <t>61140981</t>
  </si>
  <si>
    <t>Do stáv. plechové krytiny !!!!!!</t>
  </si>
  <si>
    <t>Montáž střešních oken rozměr 78/98 - 118 cm</t>
  </si>
  <si>
    <t>766624042R00</t>
  </si>
  <si>
    <t>Lemování okna   55 x  78 cm, pro ploché krytiny do max. výšky 10 mm</t>
  </si>
  <si>
    <t>61140920</t>
  </si>
  <si>
    <t>Okno střešní  55 x  78 cm přír.</t>
  </si>
  <si>
    <t>61140840</t>
  </si>
  <si>
    <t>Do stávající plechové krytiny !!!!!!</t>
  </si>
  <si>
    <t>Montáž střešních oken rozměr 55/78 cm</t>
  </si>
  <si>
    <t>766624041R00</t>
  </si>
  <si>
    <t>Dveřní kování</t>
  </si>
  <si>
    <t>54914630</t>
  </si>
  <si>
    <t>Montáž kliky a štítku</t>
  </si>
  <si>
    <t>766670021R00</t>
  </si>
  <si>
    <t>;Tabulky PSV - s klima úpravou; 1</t>
  </si>
  <si>
    <t>Dveře vnitřní fóliované plné  1kř.100x197 cm</t>
  </si>
  <si>
    <t>61162143</t>
  </si>
  <si>
    <t>Montáž dveří do zárubně,otevíravých 1kř.nad 0,8 m</t>
  </si>
  <si>
    <t>766661122R00</t>
  </si>
  <si>
    <t>;D11; 1</t>
  </si>
  <si>
    <t>;D10; 1</t>
  </si>
  <si>
    <t>Dveře protipožární EI30 plné 100x197 cm fólie</t>
  </si>
  <si>
    <t>61165605</t>
  </si>
  <si>
    <t>Montáž dveří protipožárních 1kříd. nad 80 cm</t>
  </si>
  <si>
    <t>766661422R00</t>
  </si>
  <si>
    <t>2,15*2+0,97*2</t>
  </si>
  <si>
    <t>na úchytky a hmoždinky</t>
  </si>
  <si>
    <t>Montáž vstupních dveří s vypěněním</t>
  </si>
  <si>
    <t>766711021RT2</t>
  </si>
  <si>
    <t>Konstrukce truhlářské</t>
  </si>
  <si>
    <t>766</t>
  </si>
  <si>
    <t>765_</t>
  </si>
  <si>
    <t>Demontáž střešních oken</t>
  </si>
  <si>
    <t>765000002VD</t>
  </si>
  <si>
    <t>Krytina tvrdá</t>
  </si>
  <si>
    <t>765</t>
  </si>
  <si>
    <t>764_</t>
  </si>
  <si>
    <t>Přesun hmot pro klempířské konstr., výšky do 12 m</t>
  </si>
  <si>
    <t>998764102R00</t>
  </si>
  <si>
    <t>Lemování trub z  Al, hladká krytina, D do 200 mm</t>
  </si>
  <si>
    <t>764242240R00</t>
  </si>
  <si>
    <t>Lemování trub z AL, hladká krytina, D do 150 mm</t>
  </si>
  <si>
    <t>764242230R00</t>
  </si>
  <si>
    <t>;lemování nových výdechů; 0,5*(0,7*2+1,3*2)*2</t>
  </si>
  <si>
    <t>Lemování z Al, komínů na hladké krytině, v ploše</t>
  </si>
  <si>
    <t>764339330R00</t>
  </si>
  <si>
    <t>1,0*1,5*4</t>
  </si>
  <si>
    <t>Demontáž krytiny, tabule 2 x 1 m, do 25 m2, do 30°</t>
  </si>
  <si>
    <t>764311821R00</t>
  </si>
  <si>
    <t>1,0*1,5*3</t>
  </si>
  <si>
    <t>Montáž krytiny hladké Al z tabulí 2 x 1 m</t>
  </si>
  <si>
    <t>764311391R00</t>
  </si>
  <si>
    <t>Demontáž lemování komínů v ploše, hl. kryt, do 30°</t>
  </si>
  <si>
    <t>764339830R00</t>
  </si>
  <si>
    <t>4,5</t>
  </si>
  <si>
    <t>Demontáž oplechování střešního vikýře, do 30°</t>
  </si>
  <si>
    <t>764367800R00</t>
  </si>
  <si>
    <t>Konstrukce klempířské</t>
  </si>
  <si>
    <t>764</t>
  </si>
  <si>
    <t>762_</t>
  </si>
  <si>
    <t>Přesun hmot pro tesařské konstrukce, výšky do 12 m</t>
  </si>
  <si>
    <t>998762102R00</t>
  </si>
  <si>
    <t>;ztratné 5%; 1</t>
  </si>
  <si>
    <t>20,0</t>
  </si>
  <si>
    <t>Deska dřevoštěpková OSB 3 N - 4PD tl. 22 mm</t>
  </si>
  <si>
    <t>60726016.A</t>
  </si>
  <si>
    <t>;půda; 20,0</t>
  </si>
  <si>
    <t>Položení podlahových desek na pero a drážku</t>
  </si>
  <si>
    <t>762512115R00</t>
  </si>
  <si>
    <t>Včetně svorníků M12 + matky a podložky</t>
  </si>
  <si>
    <t>Montáž svorníků, šroubů délky 300 mm</t>
  </si>
  <si>
    <t>762313112R00</t>
  </si>
  <si>
    <t>0,1*0,2*5,0+0,5</t>
  </si>
  <si>
    <t>Spojovací a ochranné prostředky pro střechy</t>
  </si>
  <si>
    <t>762395000R00</t>
  </si>
  <si>
    <t>5,0</t>
  </si>
  <si>
    <t>hranolů 100 x 200 mm</t>
  </si>
  <si>
    <t>Doplnění střešní vazby z hranolů do 224 cm2 vč.dod</t>
  </si>
  <si>
    <t>762332932RT3</t>
  </si>
  <si>
    <t>1,99</t>
  </si>
  <si>
    <t>Vyřezání otvorů střech, v laťování pl. do 1 m2</t>
  </si>
  <si>
    <t>762341911R00</t>
  </si>
  <si>
    <t>2,6</t>
  </si>
  <si>
    <t>latě 3/5 cm</t>
  </si>
  <si>
    <t>Zalaťování otvorů střech pl.do 1 m2, rozteč 40 cm</t>
  </si>
  <si>
    <t>762342921RT2</t>
  </si>
  <si>
    <t>0,8*1,0*2+1,0*1,0</t>
  </si>
  <si>
    <t>prkna tl.24 mm</t>
  </si>
  <si>
    <t>Zabednění otvorů střech prkny plochy do 1 m2</t>
  </si>
  <si>
    <t>762343931RT2</t>
  </si>
  <si>
    <t>0,7*0,5*2+0,9*0,9+0,6*0,8</t>
  </si>
  <si>
    <t>Vyřezání otvorů střech, v bednění pl. do 1 m2</t>
  </si>
  <si>
    <t>762341921R00</t>
  </si>
  <si>
    <t>0,7*0,4*8</t>
  </si>
  <si>
    <t>OSB + SDVK deska</t>
  </si>
  <si>
    <t>Doplnění podlah prkny palubovými pl.do 0,25 m2</t>
  </si>
  <si>
    <t>762523931RT2</t>
  </si>
  <si>
    <t>;2.np; 0,7*0,4*4</t>
  </si>
  <si>
    <t>Vyříznutí části podlahy plochy do 0,25 m2</t>
  </si>
  <si>
    <t>762521911R00</t>
  </si>
  <si>
    <t>Konstrukce tesařské</t>
  </si>
  <si>
    <t>762</t>
  </si>
  <si>
    <t>;nad podhledem 1S; 18,5*2</t>
  </si>
  <si>
    <t>D.1.1_72_</t>
  </si>
  <si>
    <t>722_</t>
  </si>
  <si>
    <t>Demontáž potrubí ocelových závitových DN 100</t>
  </si>
  <si>
    <t>722130806R00</t>
  </si>
  <si>
    <t>Přesun vybouraných hmot - vodovody, H 6 - 12 m</t>
  </si>
  <si>
    <t>722290822R00</t>
  </si>
  <si>
    <t>Vnitřní vodovod</t>
  </si>
  <si>
    <t>722</t>
  </si>
  <si>
    <t>721_</t>
  </si>
  <si>
    <t>Přesun hmot pro vnitřní kanalizaci, výšky do 12 m</t>
  </si>
  <si>
    <t>998721102R00</t>
  </si>
  <si>
    <t>Potrubí HT připojovací D 75 x 1,9 mm</t>
  </si>
  <si>
    <t>721176104R00</t>
  </si>
  <si>
    <t>Oprava-propojení dosavadního potrubí kamenin.DN125</t>
  </si>
  <si>
    <t>721110916R00</t>
  </si>
  <si>
    <t>Oprava potrubí kamenin., vsazení odbočky DN 125</t>
  </si>
  <si>
    <t>721110906R00</t>
  </si>
  <si>
    <t>souprava větrací hlavice PP HL807  D 75 mm</t>
  </si>
  <si>
    <t>Souprava ventilační střešní HL</t>
  </si>
  <si>
    <t>721273200RT2</t>
  </si>
  <si>
    <t>mřížka nerez 115 x 115 D 50/75/110 mm, Primus</t>
  </si>
  <si>
    <t>Vpusť podlahová se zápachovou uzávěrkou HL 310N</t>
  </si>
  <si>
    <t>721223423RT2</t>
  </si>
  <si>
    <t>Vyvedení odpadních výpustek D 75 x 1,9</t>
  </si>
  <si>
    <t>721194107R00</t>
  </si>
  <si>
    <t>;odvětrnání nad střechu; 5,0</t>
  </si>
  <si>
    <t>;1s; 1,0</t>
  </si>
  <si>
    <t>Potrubí HT dešťové (svislé) D 75 x 1,9 mm</t>
  </si>
  <si>
    <t>721176144R00</t>
  </si>
  <si>
    <t>5,5</t>
  </si>
  <si>
    <t>Potrubí KG svodné (ležaté) v zemi D 110 x 3,2 mm</t>
  </si>
  <si>
    <t>721176222R00</t>
  </si>
  <si>
    <t>Vnitřní kanalizace</t>
  </si>
  <si>
    <t>D.1.1_71_</t>
  </si>
  <si>
    <t>713_</t>
  </si>
  <si>
    <t>Přesun hmot pro izolace tepelné, výšky do 12 m</t>
  </si>
  <si>
    <t>998713102R00</t>
  </si>
  <si>
    <t>;zateplené příčky na půdě; 35,8</t>
  </si>
  <si>
    <t>parotěsná zábrana 110 g/m2</t>
  </si>
  <si>
    <t>Montáž parozábrany na stěny s přelepením spojů</t>
  </si>
  <si>
    <t>713134211RK2</t>
  </si>
  <si>
    <t>;ztratné 5%; 1,705</t>
  </si>
  <si>
    <t>34,1</t>
  </si>
  <si>
    <t>Deska z minerální plsti I tl. 40 mm, Součinitel tepelné vodivosti: 0,035 W/m . K</t>
  </si>
  <si>
    <t>63151400.A</t>
  </si>
  <si>
    <t>Deska z minerální plsti I tl. 80 mm, Součinitel tepelné vodivosti: 0,035 W/m . K</t>
  </si>
  <si>
    <t>63151404</t>
  </si>
  <si>
    <t>34,094</t>
  </si>
  <si>
    <t>2 vrstvy - materiál ve specifikaci</t>
  </si>
  <si>
    <t>Izolace tepelné stropů rovných spodem, drátem</t>
  </si>
  <si>
    <t>713111121RT2</t>
  </si>
  <si>
    <t>;ztratné 3%; 1,2</t>
  </si>
  <si>
    <t>20,0*2</t>
  </si>
  <si>
    <t>Deska z minerální plsti  tl. 1200x600x120 mm</t>
  </si>
  <si>
    <t>63151375.A</t>
  </si>
  <si>
    <t>Včetně spec. parobrzdy
  Parobrzda je speciálně vyvinutá fólie na bázi polyamidu, která kromě parotěsné funkce má navíc proměnnou ekvivalentní difuzn</t>
  </si>
  <si>
    <t>Montáž parozábrany stropů shora s přelepením spojů</t>
  </si>
  <si>
    <t>713111231RS6</t>
  </si>
  <si>
    <t>Izolace tepelné stropů vrchem kladené volně</t>
  </si>
  <si>
    <t>713111111RT2</t>
  </si>
  <si>
    <t>včetně dodávky roštu z EPS v. 240 mm
Montáž nosných EPS křížů a trámků, slepení spojů PUR lepidlem, zbroušení případných nerovností horní plochy a na</t>
  </si>
  <si>
    <t>Izolace podlah min. vatou, nosný rošt z EPS</t>
  </si>
  <si>
    <t>713121411RT4</t>
  </si>
  <si>
    <t>711_</t>
  </si>
  <si>
    <t>Přesun hmot pro izolace proti vodě, výšky do 12 m</t>
  </si>
  <si>
    <t>998711102R00</t>
  </si>
  <si>
    <t>0,66*4,5</t>
  </si>
  <si>
    <t>1 vrstva - včetně dodávky  S 35</t>
  </si>
  <si>
    <t>Izolace proti vlhk. vodorovná pásy přitavením</t>
  </si>
  <si>
    <t>711141559RZ1</t>
  </si>
  <si>
    <t>1x nátěr - včetně dodávky penetračního laku ALP</t>
  </si>
  <si>
    <t>Izolace proti vlhkosti vodor. nátěr ALP za studena</t>
  </si>
  <si>
    <t>711111001RZ1</t>
  </si>
  <si>
    <t>Izolace proti vodě</t>
  </si>
  <si>
    <t>711</t>
  </si>
  <si>
    <t>D.1.1_6_</t>
  </si>
  <si>
    <t>64_</t>
  </si>
  <si>
    <t>Příplatek za protipožární zárubně, dodatečné osazeni do zdi nebo SDK</t>
  </si>
  <si>
    <t>642000001VD</t>
  </si>
  <si>
    <t>včetně dodávky zárubně 100x197x11 cm</t>
  </si>
  <si>
    <t>Osazení ocelových zárubní dodatečně do 2,5 m2</t>
  </si>
  <si>
    <t>642944121RT6</t>
  </si>
  <si>
    <t>Výplně otvorů</t>
  </si>
  <si>
    <t>;1s; 0,1*0,17*(4,3+1,7+2,2)</t>
  </si>
  <si>
    <t>63_</t>
  </si>
  <si>
    <t>Doplnění rýh betonem v dosavadních mazaninách</t>
  </si>
  <si>
    <t>631312141R00</t>
  </si>
  <si>
    <t>0,6*4,5*0,1+0,3*4,5*0,1</t>
  </si>
  <si>
    <t>Doplnění mazanin betonem do 4 m2, nad tl. 8 cm</t>
  </si>
  <si>
    <t>631312131R00</t>
  </si>
  <si>
    <t>;1s dvorek; 9,5</t>
  </si>
  <si>
    <t>exteriér</t>
  </si>
  <si>
    <t>Potěr  samonivelační ručně tl. 4 mm</t>
  </si>
  <si>
    <t>632417104RT4</t>
  </si>
  <si>
    <t>Podlahy a podlahové konstrukce</t>
  </si>
  <si>
    <t>2,0*2,3-0,9*2,15+0,5*(2,15*2+0,97)</t>
  </si>
  <si>
    <t>62_</t>
  </si>
  <si>
    <t>Omítka vnější stěn, MVC, štuková, složitost 1-2</t>
  </si>
  <si>
    <t>622421143R00</t>
  </si>
  <si>
    <t>Úprava povrchů vnější</t>
  </si>
  <si>
    <t>;půda; 0,5*(2,1*2+1,0)+0,3*(2,1*4+1,3*2)</t>
  </si>
  <si>
    <t>;2np; 0,5*(0,45*2+0,4*6+0,75)+0,3*(1,05*4+0,75*8+0,5*12)</t>
  </si>
  <si>
    <t>61_</t>
  </si>
  <si>
    <t>Omítka vápenná vnitřního ostění - štuková</t>
  </si>
  <si>
    <t>612425931R00</t>
  </si>
  <si>
    <t>;okno angl. dvorek; 0,6*4,0</t>
  </si>
  <si>
    <t>;1s; 6</t>
  </si>
  <si>
    <t>vápennou štukovou omítkou</t>
  </si>
  <si>
    <t>Omítka malých ploch vnitřních stěn do 1 m2</t>
  </si>
  <si>
    <t>612401391RT2</t>
  </si>
  <si>
    <t>;1s; 12</t>
  </si>
  <si>
    <t>Oprava omítky na stropech o ploše do 1 m2</t>
  </si>
  <si>
    <t>611401311RT2</t>
  </si>
  <si>
    <t>Úprava povrchů vnitřní</t>
  </si>
  <si>
    <t>1,1*1,35*64*1,1/1000</t>
  </si>
  <si>
    <t>D.1.1_4_</t>
  </si>
  <si>
    <t>41_</t>
  </si>
  <si>
    <t>;nový roznášecí plech; 0,105</t>
  </si>
  <si>
    <t>Osazení válcovaných nosníků ve stropech do č. 12</t>
  </si>
  <si>
    <t>413941121R00</t>
  </si>
  <si>
    <t>0,16*4+0,2*24+0,1*8</t>
  </si>
  <si>
    <t>Nosné svary stropní konstr. nosníků tl. do 10 mm</t>
  </si>
  <si>
    <t>413941001R00</t>
  </si>
  <si>
    <t>8,34*(2*3,0+2*0,65)*1,1/1000</t>
  </si>
  <si>
    <t>včetně dodávky profilu I č. 10</t>
  </si>
  <si>
    <t>413941121RT2</t>
  </si>
  <si>
    <t>1,0*6*10,4*1,1/1000</t>
  </si>
  <si>
    <t>včetně dodávky profilu I č. 12</t>
  </si>
  <si>
    <t>413941121RT3</t>
  </si>
  <si>
    <t>15,8*(6,5*4+4,5*2)*1,1/1000</t>
  </si>
  <si>
    <t>včetně dodávky profilu I č. 16</t>
  </si>
  <si>
    <t>Osazení válcovaných nosníků ve stropech č. 14 - 22</t>
  </si>
  <si>
    <t>413941123RT3</t>
  </si>
  <si>
    <t>s použitím suché maltové směsi</t>
  </si>
  <si>
    <t>Zazdívka zhlaví válcovaných nosníků výšky do 30cm</t>
  </si>
  <si>
    <t>413232221RT2</t>
  </si>
  <si>
    <t>0,6</t>
  </si>
  <si>
    <t>Odstranění bednění stropů deskových do 5,9m, 5kPa</t>
  </si>
  <si>
    <t>411351212R00</t>
  </si>
  <si>
    <t>0,5*0,4*3</t>
  </si>
  <si>
    <t>Bednění stropů deskových, podepření, do 5,9m, 5kPa</t>
  </si>
  <si>
    <t>411351211R00</t>
  </si>
  <si>
    <t>Zabetonování otvorů 0,25 m2 ve stropech a klenbách</t>
  </si>
  <si>
    <t>411387531R00</t>
  </si>
  <si>
    <t>Stropy a stropní konstrukce (pro pozemní stavby)</t>
  </si>
  <si>
    <t>61,7+69,9</t>
  </si>
  <si>
    <t>D.1.1_3_</t>
  </si>
  <si>
    <t>34_</t>
  </si>
  <si>
    <t>Příplatek k úpravě podkroví za plochu do 10 m2 - příplatek za ztížené podmínky</t>
  </si>
  <si>
    <t>342265998RT1</t>
  </si>
  <si>
    <t>2+2</t>
  </si>
  <si>
    <t>Příplatek za otvor v podhledu podkroví pl. 1,00 m2</t>
  </si>
  <si>
    <t>342265193R00</t>
  </si>
  <si>
    <t>;ve stávající strojovně VZT; 51,07*1,33</t>
  </si>
  <si>
    <t>;v části nových rozvodů VZT; 46,44*1,33</t>
  </si>
  <si>
    <t>3,5*3,42+2,2*3,42+2,0*7,3</t>
  </si>
  <si>
    <t>desky protipožární tl. 12,5 mm, bez izolace
Položka je určena pro úpravu podkroví sádrokartonem na plochách šikmých, na ocelový rošt, bez tepelné izolace, s parotěsnou zábranou, z desek tl. 12,5 mm.</t>
  </si>
  <si>
    <t>Úprava podkroví sádrokarton. na ocel. rošt, šikmá</t>
  </si>
  <si>
    <t>342265122RT6</t>
  </si>
  <si>
    <t>;D08; 1</t>
  </si>
  <si>
    <t>zateplená, EW 15 DP3</t>
  </si>
  <si>
    <t>Revizní dvířka do SDK příček, 900x1100 mm</t>
  </si>
  <si>
    <t>342263528RT1</t>
  </si>
  <si>
    <t>;D09; 1</t>
  </si>
  <si>
    <t>EW 15 DP3</t>
  </si>
  <si>
    <t>342263528R00</t>
  </si>
  <si>
    <t>Příplatek za otvor 4 m2 v SDK příčce 1x CW,1x opl.</t>
  </si>
  <si>
    <t>342091011R00</t>
  </si>
  <si>
    <t>2,2</t>
  </si>
  <si>
    <t>Příplatek k podhledu sádrokart. za tl. desek 15 mm</t>
  </si>
  <si>
    <t>342264091R00</t>
  </si>
  <si>
    <t>;2.np; 2,0*1,1</t>
  </si>
  <si>
    <t>desky protipožární tl. 12,5 mm, bez izolace</t>
  </si>
  <si>
    <t>Podhled sádrokartonový na zavěšenou ocel. konstr.</t>
  </si>
  <si>
    <t>342264051RT2</t>
  </si>
  <si>
    <t>2,0*0,7</t>
  </si>
  <si>
    <t>desky protipožární tl. 15 mm, bez izolace</t>
  </si>
  <si>
    <t>Obklad stěn sádrokartonem na ocelovou konstrukci</t>
  </si>
  <si>
    <t>342266111RW8</t>
  </si>
  <si>
    <t>;záklopy VZT potrubí 2.np; 2,3*0,4+0,4*7,5+0,4*4,0+0,7*12,05+0,5*0,7*2+0,6*0,6+0,8*0,6</t>
  </si>
  <si>
    <t>desky standard tl. 12,5 mm, bez izolace</t>
  </si>
  <si>
    <t>342266111RU7</t>
  </si>
  <si>
    <t>0,1*(1,05*2+0,75*4)+0,4*0,5*2+0,75*0,5+0,15*1,3*2+0,45*1,0</t>
  </si>
  <si>
    <t>Plentování ocelových nosníků výšky do 20 cm</t>
  </si>
  <si>
    <t>346244381RT2</t>
  </si>
  <si>
    <t>2,0*1,1</t>
  </si>
  <si>
    <t>;záklopy VZT potrubí 2.np; 2,3*1,05+0,5*7,5+0,8*4,0+0,5*12,05+0,8*0,6+0,8*3,0</t>
  </si>
  <si>
    <t>;2.np; 2,0</t>
  </si>
  <si>
    <t>pro plochy do 2 m2</t>
  </si>
  <si>
    <t>Příplatek k podhledu sádrokart. za plochu do 10 m2</t>
  </si>
  <si>
    <t>342264098RT1</t>
  </si>
  <si>
    <t>342264051RT1</t>
  </si>
  <si>
    <t>Příplatek za otvor ve stěně podkroví pl. 0,50 m2</t>
  </si>
  <si>
    <t>342265195R00</t>
  </si>
  <si>
    <t>;půda; 1,3*13,77+0,6*7,45+1,3*7,45+1,0*7,45/2</t>
  </si>
  <si>
    <t>17,9</t>
  </si>
  <si>
    <t>Příplatek k příčce sádrokart. za izolaci 8 - 10 cm</t>
  </si>
  <si>
    <t>342263996R00</t>
  </si>
  <si>
    <t>-0,9*1,1*2</t>
  </si>
  <si>
    <t>;půda; 1,3*(13,77+9,9)+0,6*7,45+1,3*7,45+1,0*7,45/2</t>
  </si>
  <si>
    <t>;1s; 2,75*(4,29+0,125+2,1)</t>
  </si>
  <si>
    <t>Příčka SDK tl. 125mm,ocel.kce,1x oplášť.,RB 12,5mm</t>
  </si>
  <si>
    <t>342012321R00</t>
  </si>
  <si>
    <t>Stěny a příčky</t>
  </si>
  <si>
    <t>2,0</t>
  </si>
  <si>
    <t>33_</t>
  </si>
  <si>
    <t>Trubky bezešvé hladké jakost 11353.1  D 102x5,0 mm</t>
  </si>
  <si>
    <t>14130825</t>
  </si>
  <si>
    <t>;osazení ochranné trubky venk. výměníku; 1</t>
  </si>
  <si>
    <t>Osazení sloupku řadového se zabetonováním</t>
  </si>
  <si>
    <t>339928812R00</t>
  </si>
  <si>
    <t>Sloupy a pilíře, stožáry a rámové stojky</t>
  </si>
  <si>
    <t>;půda; 2+2</t>
  </si>
  <si>
    <t>31_</t>
  </si>
  <si>
    <t>Podbetonování zhlaví nosníků, zdivo šířky 300 mm</t>
  </si>
  <si>
    <t>317314130R00</t>
  </si>
  <si>
    <t>8,34*(6*0,75+3*1,05+1,4*3)*1,2/1000</t>
  </si>
  <si>
    <t>včetně dodávky profilu I č.10</t>
  </si>
  <si>
    <t>Válcované nosníky do č.12 do připravených otvorů</t>
  </si>
  <si>
    <t>317944311RT2</t>
  </si>
  <si>
    <t>Podbetonování zhlaví nosníků, zdivo šířky 500 mm</t>
  </si>
  <si>
    <t>317314150R00</t>
  </si>
  <si>
    <t>0,1*1,05*0,4+0,1*0,75*0,4*2+0,1*1,3*0,45</t>
  </si>
  <si>
    <t>Vyzdívka mezi nosníky cihlami pálenými na MC</t>
  </si>
  <si>
    <t>317234410RT2</t>
  </si>
  <si>
    <t>0,6*0,83*2,25</t>
  </si>
  <si>
    <t>Zazdívka otvorů do 4 m2, pórobet.tvárnice, tl.30cm</t>
  </si>
  <si>
    <t>310271630R00</t>
  </si>
  <si>
    <t>Zdi podpěrné a volné</t>
  </si>
  <si>
    <t>0,7*0,3*1,8</t>
  </si>
  <si>
    <t>D.1.1_2_</t>
  </si>
  <si>
    <t>27_</t>
  </si>
  <si>
    <t>Beton základových pasů prostý C 12/15</t>
  </si>
  <si>
    <t>274313511R00</t>
  </si>
  <si>
    <t>;základ pod venk. jednotku; 0,3*1,9</t>
  </si>
  <si>
    <t>výplň tvárnic betonem C 12/15</t>
  </si>
  <si>
    <t>Zdivo základové z bednicích tvárnic, tl. 30 cm</t>
  </si>
  <si>
    <t>274272140RT2</t>
  </si>
  <si>
    <t>Základy</t>
  </si>
  <si>
    <t>1,58</t>
  </si>
  <si>
    <t>D.1.1_1_</t>
  </si>
  <si>
    <t>19_</t>
  </si>
  <si>
    <t>Poplatek za skládku horniny 1- 4</t>
  </si>
  <si>
    <t>199000002R00</t>
  </si>
  <si>
    <t>Hloubení pro podzemní stěny, ražení a hloubení důlní</t>
  </si>
  <si>
    <t>0,8*0,3*4,5</t>
  </si>
  <si>
    <t>s dodáním štěrkopísku frakce 0 - 22 mm</t>
  </si>
  <si>
    <t>17_</t>
  </si>
  <si>
    <t>Obsyp potrubí bez prohození sypaniny</t>
  </si>
  <si>
    <t>175101101RT2</t>
  </si>
  <si>
    <t>Konstrukce ze zemin</t>
  </si>
  <si>
    <t>0,5+1,08</t>
  </si>
  <si>
    <t>16_</t>
  </si>
  <si>
    <t>Vodorovné přemístění výkopku z hor.1-4 do 3000 m</t>
  </si>
  <si>
    <t>162501102R00</t>
  </si>
  <si>
    <t>0,49+1,08</t>
  </si>
  <si>
    <t>Nakládání výkopku z hor.1 ÷ 4 - ručně</t>
  </si>
  <si>
    <t>167101201R00</t>
  </si>
  <si>
    <t>Přemístění výkopku</t>
  </si>
  <si>
    <t>;výkop pro napojení kanalizace; 0,3*0,8*4,5</t>
  </si>
  <si>
    <t>hornina 2</t>
  </si>
  <si>
    <t>13_</t>
  </si>
  <si>
    <t>Vykopávka v uzavřených prostorách v hor.1-4</t>
  </si>
  <si>
    <t>139711101RT2</t>
  </si>
  <si>
    <t>;základ pod venk. jednotku; 0,3*1,75*0,9+0,1*0,26*0,9</t>
  </si>
  <si>
    <t>Ruční výkop jam, rýh a šachet v hornině tř. 3</t>
  </si>
  <si>
    <t>139601102R00</t>
  </si>
  <si>
    <t>Hloubené vykopávky</t>
  </si>
  <si>
    <t>ARCHITEKTONICKO STAVEBNÍ ŘEŠENÍ - REKUPERACE</t>
  </si>
  <si>
    <t>CELK</t>
  </si>
  <si>
    <t>WORK</t>
  </si>
  <si>
    <t>MAT</t>
  </si>
  <si>
    <t>Ostatní mat.</t>
  </si>
  <si>
    <t>Mont prac</t>
  </si>
  <si>
    <t>Mont mat</t>
  </si>
  <si>
    <t>PSV prac</t>
  </si>
  <si>
    <t>PSV mat</t>
  </si>
  <si>
    <t>HSV prac</t>
  </si>
  <si>
    <t>HSV mat</t>
  </si>
  <si>
    <t>Typ skupiny</t>
  </si>
  <si>
    <t>Přesuny</t>
  </si>
  <si>
    <t>Jednot.</t>
  </si>
  <si>
    <t>Celkem</t>
  </si>
  <si>
    <t>(Kč)</t>
  </si>
  <si>
    <t>Rozměry</t>
  </si>
  <si>
    <t>Hmotnost (t)</t>
  </si>
  <si>
    <t>Náklady (Kč)</t>
  </si>
  <si>
    <t>Cena/MJ</t>
  </si>
  <si>
    <t>Zkrácený popis</t>
  </si>
  <si>
    <t>Objekt</t>
  </si>
  <si>
    <t>Č</t>
  </si>
  <si>
    <t>MARTIN ČERNÝ,DIS.</t>
  </si>
  <si>
    <t>Zpracoval:</t>
  </si>
  <si>
    <t>08.08.2022</t>
  </si>
  <si>
    <t>Zpracováno dne:</t>
  </si>
  <si>
    <t>JKSO:</t>
  </si>
  <si>
    <t> </t>
  </si>
  <si>
    <t>Zhotovitel:</t>
  </si>
  <si>
    <t>Konec výstavby:</t>
  </si>
  <si>
    <t>LITOMYŠL</t>
  </si>
  <si>
    <t>Lokalita:</t>
  </si>
  <si>
    <t>KIP s.r.o. Litomyšl</t>
  </si>
  <si>
    <t>Začátek výstavby:</t>
  </si>
  <si>
    <t>Druh stavby:</t>
  </si>
  <si>
    <t>Pardubický kraj, Komenského náměstí 125, Pardubice</t>
  </si>
  <si>
    <t>Objednatel:</t>
  </si>
  <si>
    <t>Doba výstavby:</t>
  </si>
  <si>
    <t>REALIZACE ÚSPOR ENERGIE AREÁL NPK, A.S., SPRÁVNÍ BUDOVA V LITOMYŠLI, REKUPERACE</t>
  </si>
  <si>
    <t>Název stavby:</t>
  </si>
  <si>
    <t>Slepý stavební rozpočet</t>
  </si>
  <si>
    <t>Celkem:</t>
  </si>
  <si>
    <t>F</t>
  </si>
  <si>
    <t>Slepý stavební rozpočet - Jen objekty celkem</t>
  </si>
  <si>
    <t>Celkem ORN</t>
  </si>
  <si>
    <t>Příplatek za práci prováděnou za provozu</t>
  </si>
  <si>
    <t>Náklady spojené se zřízením bankovní záruky po dobu záruční doby, jak je uvedeno v návrhu smlouvy o dílo</t>
  </si>
  <si>
    <t>Náklady spojené se zřízením bankovní záruky po dobu realizace stavby, jak je uvedeno v návrhu smlouvy o dílo</t>
  </si>
  <si>
    <t>Náklady spojené s pojištěním odpovědnosti za škodu, jak je uvedeno v návrhu smlouvy o dílo</t>
  </si>
  <si>
    <t xml:space="preserve">Vytyčení inženýrských sítí, ochrana stávajících vedení a zařízení před poškozením </t>
  </si>
  <si>
    <t xml:space="preserve">Dokumentace skutečného provedení dle vyhl. 499/2006 Sb. ve třech listinných vyhotoveních a jednom elektronickém vyhotovení na CD-Rom   </t>
  </si>
  <si>
    <t>Náklady spojené  s vybudováním, provozem a likvidací zařízení staveniště</t>
  </si>
  <si>
    <t>Kč</t>
  </si>
  <si>
    <t>Základna</t>
  </si>
  <si>
    <t>%</t>
  </si>
  <si>
    <t>Ostatní rozpočtové náklady (ORN)</t>
  </si>
  <si>
    <t>Ostatní rozpočtové náklady ORN</t>
  </si>
  <si>
    <t>Položek:</t>
  </si>
  <si>
    <t>IČO/DIČ:</t>
  </si>
  <si>
    <t>VEDLEJŠÍ ROZPOČTOVÉ NÁKLADY</t>
  </si>
  <si>
    <t>Krycí list rozpočtu</t>
  </si>
  <si>
    <t>KIP spol. s r.o. Litomyšl</t>
  </si>
  <si>
    <t>11.05.2023</t>
  </si>
  <si>
    <t>MARTIN ČERNÝ, DIS.</t>
  </si>
  <si>
    <t>Rozpočtové náklady v Kč</t>
  </si>
  <si>
    <t>Základ 0%</t>
  </si>
  <si>
    <t>Základ 15%</t>
  </si>
  <si>
    <t>DPH 15%</t>
  </si>
  <si>
    <t>Celkem bez DPH</t>
  </si>
  <si>
    <t>Základ 21%</t>
  </si>
  <si>
    <t>DPH 21%</t>
  </si>
  <si>
    <t>Celkem včetně DPH</t>
  </si>
  <si>
    <t>Objednatel</t>
  </si>
  <si>
    <t>Zhotovitel</t>
  </si>
  <si>
    <t>Datum, razítko a podpis</t>
  </si>
  <si>
    <t>Vyplň údaj</t>
  </si>
  <si>
    <t>Realizace úspor energie, areál NPK, a.s. Správní budova v Litomyšli - rekuperace (aktualizace 08/2022)</t>
  </si>
  <si>
    <t>1. 8. 2022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</si>
  <si>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</si>
  <si>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https://podminky.urs.cz/item/CS_URS_2022_02/998751191</t>
  </si>
  <si>
    <t>1029151125</t>
  </si>
  <si>
    <t>Přesun hmot pro vzduchotechniku stanovený z hmotnosti přesunovaného materiálu Příplatek k cenám za zvětšený přesun přes vymezenou největší dopravní vzdálenost do 500 m</t>
  </si>
  <si>
    <t>998751191</t>
  </si>
  <si>
    <t>https://podminky.urs.cz/item/CS_URS_2022_02/998751101</t>
  </si>
  <si>
    <t>-1291193041</t>
  </si>
  <si>
    <t>Přesun hmot pro vzduchotechniku stanovený z hmotnosti přesunovaného materiálu vodorovná dopravní vzdálenost do 100 m v objektech výšky do 12 m</t>
  </si>
  <si>
    <t>998751101</t>
  </si>
  <si>
    <t>602550173</t>
  </si>
  <si>
    <t>Pomocný spojovací, těsnící a montážní materiál zařízení "5"</t>
  </si>
  <si>
    <t>75199X005</t>
  </si>
  <si>
    <t>1,30</t>
  </si>
  <si>
    <t xml:space="preserve">Zařízení "5" Výměna kuchyňské digestoře v 1.NP </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</si>
  <si>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</si>
  <si>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https://podminky.urs.cz/item/CS_URS_2022_02/751510013</t>
  </si>
  <si>
    <t>-1835170385</t>
  </si>
  <si>
    <t>Vzduchotechnické potrubí z pozinkovaného plechu čtyřhranné s přírubou, průřezu přes 0,07 do 0,13 m2</t>
  </si>
  <si>
    <t>751510013</t>
  </si>
  <si>
    <t>4,00</t>
  </si>
  <si>
    <t>https://podminky.urs.cz/item/CS_URS_2022_02/751510012</t>
  </si>
  <si>
    <t>1912437455</t>
  </si>
  <si>
    <t>Vzduchotechnické potrubí z pozinkovaného plechu čtyřhranné s přírubou, průřezu přes 0,03 do 0,07 m2</t>
  </si>
  <si>
    <t>751510012</t>
  </si>
  <si>
    <t>-1180245128</t>
  </si>
  <si>
    <t>Kuchyňská nerezová jednořadá digestoř standardní LxB 2 250 x 1 400 mm výška 435 mm počet tukových filtrů 400 x 400 mm 2 ks s osvětlením 1x odsávací hrdlo 200 x 315 mm dl.100 mm</t>
  </si>
  <si>
    <t>429111311X86</t>
  </si>
  <si>
    <t>https://podminky.urs.cz/item/CS_URS_2022_02/751377043</t>
  </si>
  <si>
    <t>1006620694</t>
  </si>
  <si>
    <t>Montáž odsávacích stropů, zákrytů odsávacího zákrytu (digestoř) průmyslového závěsného, průřezu přes 2,5 do 3,5 m2</t>
  </si>
  <si>
    <t>751377043</t>
  </si>
  <si>
    <t>-1450667728</t>
  </si>
  <si>
    <t>Kuchyňská nerezová jednořadá digestoř standardní LxB 2 250 x 1 400 mm výška 435 mm počet tukových filtrů 400 x 400 mm 3 ks s osvětlením 1x odsávací hrdlo 200 x 315 mm dl.100 mm</t>
  </si>
  <si>
    <t>429111301X85</t>
  </si>
  <si>
    <t>824623508</t>
  </si>
  <si>
    <t>Vzduchotechnika - Zařízení "5"</t>
  </si>
  <si>
    <t>751-5</t>
  </si>
  <si>
    <t>-807321462</t>
  </si>
  <si>
    <t>1623607190</t>
  </si>
  <si>
    <t>2109246655</t>
  </si>
  <si>
    <t>Komplexní vyzkoušení spuštění kompresorové kondenzační jednotky (max.12,5 kW)</t>
  </si>
  <si>
    <t>751990014X84</t>
  </si>
  <si>
    <t>269121157</t>
  </si>
  <si>
    <t>Tlaková zkouška rozvodu chladiva kapalina/plyn (R32)</t>
  </si>
  <si>
    <t>751990013X83</t>
  </si>
  <si>
    <t xml:space="preserve">Zařízení "4" Zdroj chladu - venkovní kondenzační jednotka pro zařízení „2“ </t>
  </si>
  <si>
    <t>1823490833</t>
  </si>
  <si>
    <t xml:space="preserve">Doplnění chladiva do rozvodu včetně dodávky chladiva R32 (cca 0,3 kg) </t>
  </si>
  <si>
    <t>751791166X82</t>
  </si>
  <si>
    <t>1649019735</t>
  </si>
  <si>
    <t>Trubková tepelná izolace z flexibilního elastomerního izolačního materiálu s uzavřenými buňkami (syntetický kaučuk) materiál tepelná izolace - sysntetický kaučuk pro chlazení součinitel difuze μ=10000 použití od -50°C do +105°C součinitel tepelné vodivosti λ=0,034 W/mK při 0°C samozhášecí oheň nešířící a při ohni neskapávající černá barva vnější průměr 15 mm tl. izolace 19 mm</t>
  </si>
  <si>
    <t>27127034X81</t>
  </si>
  <si>
    <t>23,00</t>
  </si>
  <si>
    <t>909556174</t>
  </si>
  <si>
    <t>Montáž trubkové tepelné izolace z flexibilního elastomerního izolačního materiálu s uzavřenými buňkami (syntetický kaučuk) včetně úpravy spojů a přelepení spojů vnější průměr 15 mm tl. izolace 19 mm</t>
  </si>
  <si>
    <t>751791165X80</t>
  </si>
  <si>
    <t>-1320546379</t>
  </si>
  <si>
    <t>Trubková tepelná izolace z flexibilního elastomerního izolačního materiálu s uzavřenými buňkami (syntetický kaučuk) materiál tepelná izolace - sysntetický kaučuk pro chlazení součinitel difuze μ=10000 použití od -50°C do +105°C součinitel tepelné vodivosti λ=0,034 W/mK při 0°C samozhášecí oheň nešířící a při ohni neskapávající černá barva vnější průměr 10 mm tl. izolace 9 mm</t>
  </si>
  <si>
    <t>27127022X79</t>
  </si>
  <si>
    <t>459192290</t>
  </si>
  <si>
    <t>Montáž trubkové tepelné izolace z flexibilního elastomerního izolačního materiálu s uzavřenými buňkami (syntetický kaučuk) včetně úpravy spojů a přelepení spojů vnější průměr 10 mm tl. izolace 9 mm</t>
  </si>
  <si>
    <t>751791164X78</t>
  </si>
  <si>
    <t>15,00</t>
  </si>
  <si>
    <t>-1396423953</t>
  </si>
  <si>
    <t>Montáž a dodávka plechového instalačního kanálku 250x120 mm pro osazení izolovaného potrubí</t>
  </si>
  <si>
    <t>751791163X77</t>
  </si>
  <si>
    <t>824838514</t>
  </si>
  <si>
    <t>zhotovení přípojek z trubek měděných napojení výparníku, kondenzační jednotky průměr 15x1 mm</t>
  </si>
  <si>
    <t>751791162X76</t>
  </si>
  <si>
    <t>1812787358</t>
  </si>
  <si>
    <t>zhotovení přípojek z trubek měděných napojení výparníku, kondenzační jednotky průměr 10x1 mm</t>
  </si>
  <si>
    <t>751791161X75</t>
  </si>
  <si>
    <t>1944744487</t>
  </si>
  <si>
    <t>Dodávka potrubí měděného (bezešvé tažené trubky a tvarovky) určené pro chlazení a klimatizaci (chladivo R410A) CU potrubí R290 tvrdé EN 12735-1/EN 13348 spojované pájením (trubky v přímých délkách) průměr 15x1 mm (trubky a kolena)</t>
  </si>
  <si>
    <t>196329921X74</t>
  </si>
  <si>
    <t>888176377</t>
  </si>
  <si>
    <t>Montáž potrubí měděného (bezešvé tažené trubky a tvarovky) určené pro chlazení a klimatizaci (chladivo R410A) CU potrubí tvrdé R290 EN 12735-1/EN 13348 Ag pájka spojované pájením CU-CU včetně pomocného materiálu a uchycení průměr 15x1 mm (trubky a kolena)</t>
  </si>
  <si>
    <t>751791160X73</t>
  </si>
  <si>
    <t>1787234592</t>
  </si>
  <si>
    <t>Dodávka potrubí měděného (bezešvé tažené trubky a tvarovky) určené pro chlazení a klimatizaci (chladivo R410A) CU potrubí tvrdé R290 EN 12735-1/EN 13348 spojované pájením (trubky v přímých délkách) průměr 10x1 mm (trubky a kolena)</t>
  </si>
  <si>
    <t>196329911X72</t>
  </si>
  <si>
    <t xml:space="preserve">Poznámka k položce:_x000D_
 </t>
  </si>
  <si>
    <t>-1982336213</t>
  </si>
  <si>
    <t>Montáž potrubí měděného (bezešvé tažené trubky a tvarovky) určené pro chlazení a klimatizaci (chladivo R410A) CU potrubí tvrdé R290 EN 12735-1/EN 13348 Ag pájka spojované pájením CU-CU včetně pomocného materiálu a uchycení průměr 10x1 mm (trubky a kolena)</t>
  </si>
  <si>
    <t>751791159X71</t>
  </si>
  <si>
    <t>1998866900</t>
  </si>
  <si>
    <t xml:space="preserve">Přemístění kompresorové kondenzační jednotky do výšky 8,5 m (střecha krčku mez správní budovou a kotelnou) ( hmotnost 87,5 kg) </t>
  </si>
  <si>
    <t>75114X042</t>
  </si>
  <si>
    <t>604989612</t>
  </si>
  <si>
    <t>Řídící box (přímý výpar pro vzt) pro výše uvedenou kondenzační jednotku zařízení “4“  pro řízení dle teploty přívodního vzduchu pomocí měření vstupní a výstupní teploty na výměníku VZT jednotky a působením na venkovní jednotku. Řídící box s možností napojení na nadřazenou regulaci.  _x000D_
Opláštění RAL 7035 krytí IP66._x000D_
Rozsah použití: venkovní teplota −20 ~ 65°C relativní vlhkost 0 ~ 98%_x000D_
Teplota vzduchu na výměníku: chlazení 10 ~ 42°C šxvxhl 380 x 300 x 155 mm_x000D_
Dodávka standardně včetně čidla na plynu a kapalině a čidla teploty vzduchu</t>
  </si>
  <si>
    <t>429111301X70</t>
  </si>
  <si>
    <t>-129623097</t>
  </si>
  <si>
    <t>Typová přídavná elektrická deska (pro výše uvedenou kompresorovou kondenzační jednotku)_x000D_
pro připojení na MaR prostřednictvím sběrnice RS485 (osadit do venkovní jednotky)</t>
  </si>
  <si>
    <t>429111291X69</t>
  </si>
  <si>
    <t>-430642903</t>
  </si>
  <si>
    <t>komplet</t>
  </si>
  <si>
    <t>Vzduchem chlazená kompresorová jednotka určena pro provoz s chladivem R32. Venkovní jednotka split systému s vysokou jmenovitou a sezónní účinností typ kompresoru: DC stejnosměrný Scroll s invertorovým řízením pro jeden DX výměník sání vzduchu je ze zadní strany jednotky a výfuk vpřed systém splňuje požadavky Nařízení EU o ECO-designu_x000D_
Technické parametry:_x000D_
jmenovitý chladicí výkon při 100% zatížení: 9,5 ~ 14,6 kW (nastavení - jmenovitý 9,5 kW max. 12,54 kW) _x000D_
napájení: 3f- 400V/50Hz jištění 3f 20A_x000D_
příkon: jmenovitý 3,8 až 8,1 kW_x000D_
EER 4,52_x000D_
chladivo R 32 množství chladiva 3 kg (jednotka předplněna pro vzdálenost 7,5m) _x000D_
vzduchový výkon: 6 600 m3/hod.  _x000D_
maximální délka propojovacího potrubí 85 m převýšení 30 m minimální délka propojovacího potrubí 5 m _x000D_
provozní podmínky pro chlazení - venkovní teplota  -15° až +48°C_x000D_
rozměry venkovní  jednotky (šxvxhl) 950 x 1 380 x 330 mm hmotnost 87,5 kg _x000D_
hladina akustického tlaku chlazení (1 m): 50 dB(A)_x000D_
napojení kapaliny - dimenze: 9,52 mm_x000D_
napojení plynu - dimenze: 15,88 mm_x000D_
jednotka obsahuje expanzní ventil</t>
  </si>
  <si>
    <t>429111281X68</t>
  </si>
  <si>
    <t>-561910590</t>
  </si>
  <si>
    <t xml:space="preserve">Montáž - osazení venkovní kompaktní kompresorové kondenzační jednotky pro chlazení (šxvxhl 950 x 1 380 x 330 mm) hmotnost 87,5 kg </t>
  </si>
  <si>
    <t>75114X041</t>
  </si>
  <si>
    <t>Vzduchotechnika - Zařízení "4"</t>
  </si>
  <si>
    <t>751-4</t>
  </si>
  <si>
    <t>789830575</t>
  </si>
  <si>
    <t>-1843481139</t>
  </si>
  <si>
    <t>1530319911</t>
  </si>
  <si>
    <t>Komplexní vyzkoušení spuštění kompresorové kondenzační jednotky (39,2 kW)</t>
  </si>
  <si>
    <t>751990012X67</t>
  </si>
  <si>
    <t>-167322299</t>
  </si>
  <si>
    <t>Tlaková zkouška rozvodu chladiva kapalina/plyn (R410A)</t>
  </si>
  <si>
    <t>751990011X66</t>
  </si>
  <si>
    <t xml:space="preserve">Zařízení "3" Zdroj chladu - venkovní kondenzační jednotka pro zařízení „1“ </t>
  </si>
  <si>
    <t>-1119028313</t>
  </si>
  <si>
    <t xml:space="preserve">Doplnění chladiva do rozvodu včetně dodávky chladiva R410A (cca 4,5 kg) </t>
  </si>
  <si>
    <t>751791158X65</t>
  </si>
  <si>
    <t>134991555</t>
  </si>
  <si>
    <t>Trubková tepelná izolace z flexibilního elastomerního izolačního materiálu s uzavřenými buňkami (syntetický kaučuk) materiál tepelná izolace - sysntetický kaučuk pro chlazení součinitel difuze μ=10000 použití od -50°C do +105°C součinitel tepelné vodivosti λ=0,034 W/mK při 0°C samozhášecí oheň nešířící a při ohni neskapávající černá barva vnější průměr 28 mm tl. izolace 25 mm</t>
  </si>
  <si>
    <t>27127035X64</t>
  </si>
  <si>
    <t>18,00</t>
  </si>
  <si>
    <t>1963080704</t>
  </si>
  <si>
    <t>Montáž trubkové tepelné izolace z flexibilního elastomerního izolačního materiálu s uzavřenými buňkami (syntetický kaučuk) včetně úpravy spojů a přelepení spojů vnější průměr 28 mm tl. izolace 25 mm</t>
  </si>
  <si>
    <t>751791157X63</t>
  </si>
  <si>
    <t>854550929</t>
  </si>
  <si>
    <t>Trubková tepelná izolace z flexibilního elastomerního izolačního materiálu s uzavřenými buňkami (syntetický kaučuk) materiál tepelná izolace - sysntetický kaučuk pro chlazení součinitel difuze μ=10000 použití od -50°C do +105°C součinitel tepelné vodivosti λ=0,034 W/mK při 0°C samozhášecí oheň nešířící a při ohni neskapávající černá barva vnější průměr 12 mm tl. izolace 13 mm</t>
  </si>
  <si>
    <t>27127021X62</t>
  </si>
  <si>
    <t>-654420909</t>
  </si>
  <si>
    <t>Montáž trubkové tepelné izolace z flexibilního elastomerního izolačního materiálu s uzavřenými buňkami (syntetický kaučuk) včetně úpravy spojů a přelepení spojů vnější průměr 12 mm tl. izolace 13 mm</t>
  </si>
  <si>
    <t>751791156X61</t>
  </si>
  <si>
    <t>1,50</t>
  </si>
  <si>
    <t>1522706309</t>
  </si>
  <si>
    <t>Montáž a dodávka plechového kanálku zákrytu 250x120 mm pro osazení izolovaného potrubí</t>
  </si>
  <si>
    <t>751791155X60</t>
  </si>
  <si>
    <t>-688712121</t>
  </si>
  <si>
    <t>zhotovení přípojek z trubek měděných napojení výparníku, kondenzační jednotky průměr 28x1 mm</t>
  </si>
  <si>
    <t>751791154X59</t>
  </si>
  <si>
    <t>1584255099</t>
  </si>
  <si>
    <t>zhotovení přípojek z trubek měděných napojení výparníku, kondenzační jednotky, expanzního ventilu (boxu) průměr 12x1 mm</t>
  </si>
  <si>
    <t>751791153X58</t>
  </si>
  <si>
    <t>-1633554144</t>
  </si>
  <si>
    <t>Dodávka potrubí měděného (bezešvé tažené trubky a tvarovky) určené pro chlazení a klimatizaci (chladivo R410A) CU potrubí R290 tvrdé EN 12735-1/EN 13348 spojované pájením (trubky v přímých délkách) průměr 28x1 mm (trubky a kolena)</t>
  </si>
  <si>
    <t>196329902X57</t>
  </si>
  <si>
    <t>-2097750479</t>
  </si>
  <si>
    <t>Montáž potrubí měděného (bezešvé tažené trubky a tvarovky) určené pro chlazení a klimatizaci (chladivo R410A) CU potrubí tvrdé R290 EN 12735-1/EN 13348 Ag pájka spojované pájením CU-CU včetně pomocného materiálu a uchycení průměr 28x1 mm (trubky a kolena)</t>
  </si>
  <si>
    <t>751791152X56</t>
  </si>
  <si>
    <t>39131383</t>
  </si>
  <si>
    <t>Dodávka potrubí měděného (bezešvé tažené trubky a tvarovky) určené pro chlazení a klimatizaci (chladivo R410A) CU potrubí tvrdé R290 EN 12735-1/EN 13348 spojované pájením (trubky v přímých délkách) průměr 12x1 mm (trubky a kolena)</t>
  </si>
  <si>
    <t>196329901X55</t>
  </si>
  <si>
    <t>-1225422261</t>
  </si>
  <si>
    <t>Montáž potrubí měděného (bezešvé tažené trubky a tvarovky) určené pro chlazení a klimatizaci (chladivo R410A) CU potrubí tvrdé R290 EN 12735-1/EN 13348 Ag pájka spojované pájením CU-CU včetně pomocného materiálu a uchycení průměr 12x1 mm (trubky a kolena)</t>
  </si>
  <si>
    <t>751791151X54</t>
  </si>
  <si>
    <t>460168313</t>
  </si>
  <si>
    <t>Typový box elektronického expanzního ventilu pro výše uvedenou kondenzační jednotku o chladícím výkonu 39,2 kW a typový řídící box samostatný box včetně tepelné izolace, (1 sada pro 1 okruh) rozměry š x v x hl. cca 400 x 830 x 220 mm včetně připojovacího kabelu (1 sada pro 1 okruh)</t>
  </si>
  <si>
    <t>429111201X53</t>
  </si>
  <si>
    <t>489968992</t>
  </si>
  <si>
    <t>Osazení typového boxu elektronického expanzního ventilu</t>
  </si>
  <si>
    <t>75114X033</t>
  </si>
  <si>
    <t>-518584344</t>
  </si>
  <si>
    <t>Přemístění kompresorové kondenzační jednotky do výšky cca 1 m na podpůrnou konstrukci pomocí jeřábu (hmotnost jednotky cca 240 kg )</t>
  </si>
  <si>
    <t>75114X032</t>
  </si>
  <si>
    <t>-1677924179</t>
  </si>
  <si>
    <t>Řídící jednotka (přímý výpar pro vzt) pro výše uvedenou kondenzační jednotku zařízení “3“ pro řízení dle teploty přívodního vzduchu pomocí měření vstupní a výstupní teploty na výměníku VZT jednotky a působením na venkovní jednotku a elektronický expanzní ventil. Řídící box s možností  napojení na nadřazenou regulaci._x000D_
opláštění RAL 7035 krytí IP66_x000D_
rozsah použití: venkovní teplota −20 ~ 65°C relativní vlhkost 0 ~ 98%_x000D_
teplota vzduchu na výměníku: chlazení 10 ~ 42°C  šxvxhl 380 x 300 x 155 mm_x000D_
dodávka standardně včetně čidla na potrubí chladiva - na plynu a kapalině a čidla teploty vzduchu</t>
  </si>
  <si>
    <t>42911119X52</t>
  </si>
  <si>
    <t>2081429871</t>
  </si>
  <si>
    <t>Vzduchem chlazená kompresorová jednotka určena pro provoz s chladivem R410A. Venkovní jednotka systému VRF s vysokou jmenovitou a sezónní účinností typ kompresoru : DC stejnosměrný Scroll s invertorovým řízením pro jeden DX výměník systém splňuje požadavky Nařízení EU o ECO-designu_x000D_
chladící výkon: jmenovitý výkon 39,2 kW_x000D_
napájení: 3f- 400V/50Hz jištění 3f 32A_x000D_
příkon: : jmenovitý 8,68 kW _x000D_
EER 4,52_x000D_
chladivo R 410A množství chladiva 13,5 kg_x000D_
vzduchový výkon 320 m3/minutu  _x000D_
provozní podmínky pro chlazení - venkovní teplota  -10° až +48°C_x000D_
rozměry venkovní  jednotky (šxvxhl) 1 240 x 1 690 x 760 mm</t>
  </si>
  <si>
    <t>42911118X51</t>
  </si>
  <si>
    <t>1638046619</t>
  </si>
  <si>
    <t xml:space="preserve">Montáž - osazení venkovní kompaktní kompresorové kondenzační jednotky pro chlazení </t>
  </si>
  <si>
    <t>75114X031</t>
  </si>
  <si>
    <t>Vzduchotechnika - Zařízení "3"</t>
  </si>
  <si>
    <t>751-3</t>
  </si>
  <si>
    <t>-1199045241</t>
  </si>
  <si>
    <t>Demontáž filtrů čtyřhranného potrubí, průřezu přes 0,28 m2</t>
  </si>
  <si>
    <t>751366866X43</t>
  </si>
  <si>
    <t>https://podminky.urs.cz/item/CS_URS_2022_02/751123812</t>
  </si>
  <si>
    <t>-1975236699</t>
  </si>
  <si>
    <t>Demontáž ventilátoru radiálního nízkotlakého kruhové potrubí, průměru přes 300 do 400 mm</t>
  </si>
  <si>
    <t>751123812</t>
  </si>
  <si>
    <t>https://podminky.urs.cz/item/CS_URS_2022_02/751511806</t>
  </si>
  <si>
    <t>80956097</t>
  </si>
  <si>
    <t>Demontáž potrubí plechového skupiny I čtyřhranného s přírubou nebo bez příruby tloušťky plechu 0,8 mm, průřezu přes 0,28 do 0,50 m2</t>
  </si>
  <si>
    <t>751511806</t>
  </si>
  <si>
    <t>https://podminky.urs.cz/item/CS_URS_2022_02/751511805</t>
  </si>
  <si>
    <t>-303140970</t>
  </si>
  <si>
    <t>Demontáž potrubí plechového skupiny I čtyřhranného s přírubou nebo bez příruby tloušťky plechu 0,8 mm, průřezu přes 0,13 do 0,28 m2</t>
  </si>
  <si>
    <t>751511805</t>
  </si>
  <si>
    <t>https://podminky.urs.cz/item/CS_URS_2022_02/751511802</t>
  </si>
  <si>
    <t>-771088691</t>
  </si>
  <si>
    <t>Demontáž potrubí plechového skupiny I čtyřhranného s přírubou nebo bez příruby tloušťky plechu 0,6 mm, průřezu přes 0,07 do 0,13 m2</t>
  </si>
  <si>
    <t>751511802</t>
  </si>
  <si>
    <t>-1863320967</t>
  </si>
  <si>
    <t>-2119418083</t>
  </si>
  <si>
    <t>1098053006</t>
  </si>
  <si>
    <t xml:space="preserve">Zaregulování systému větrání – zařízení „2“ </t>
  </si>
  <si>
    <t>75199X102</t>
  </si>
  <si>
    <t>1661596941</t>
  </si>
  <si>
    <t>Pomocný spojovací, těsnící a montážní materiál zařízení „2“</t>
  </si>
  <si>
    <t>75199X002</t>
  </si>
  <si>
    <t xml:space="preserve">Zařízení "2" Větrání jídelny, výdeje jídel a umývárny nádobí 2.NP  </t>
  </si>
  <si>
    <t>https://podminky.urs.cz/item/CS_URS_2022_02/751510042</t>
  </si>
  <si>
    <t>643752344</t>
  </si>
  <si>
    <t>Vzduchotechnické potrubí z pozinkovaného plechu kruhové, trouba spirálně vinutá bez příruby, průměru přes 100 do 200 mm</t>
  </si>
  <si>
    <t>751510042</t>
  </si>
  <si>
    <t>1413122723</t>
  </si>
  <si>
    <t>Příplatek za zhotovení otvoru rozměru 560 x 200 mm</t>
  </si>
  <si>
    <t>751510084X42</t>
  </si>
  <si>
    <t>6,30</t>
  </si>
  <si>
    <t>https://podminky.urs.cz/item/CS_URS_2022_02/751510016</t>
  </si>
  <si>
    <t>-1247844441</t>
  </si>
  <si>
    <t>Vzduchotechnické potrubí z pozinkovaného plechu čtyřhranné s přírubou, průřezu přes 0,50 do 0,79 m2</t>
  </si>
  <si>
    <t>751510016</t>
  </si>
  <si>
    <t>11,80</t>
  </si>
  <si>
    <t>https://podminky.urs.cz/item/CS_URS_2022_02/751510015</t>
  </si>
  <si>
    <t>374613304</t>
  </si>
  <si>
    <t>Vzduchotechnické potrubí z pozinkovaného plechu čtyřhranné s přírubou, průřezu přes 0,28 do 0,50 m2</t>
  </si>
  <si>
    <t>751510015</t>
  </si>
  <si>
    <t>17,40</t>
  </si>
  <si>
    <t>https://podminky.urs.cz/item/CS_URS_2022_02/751510014</t>
  </si>
  <si>
    <t>532008865</t>
  </si>
  <si>
    <t>Vzduchotechnické potrubí z pozinkovaného plechu čtyřhranné s přírubou, průřezu přes 0,13 do 0,28 m2</t>
  </si>
  <si>
    <t>751510014</t>
  </si>
  <si>
    <t>28,40</t>
  </si>
  <si>
    <t>-161483677</t>
  </si>
  <si>
    <t>2095257637</t>
  </si>
  <si>
    <t>-1867802758</t>
  </si>
  <si>
    <t>Kovová (hliník elox) dveřní mřížka dvoustranná 610x310 mm (Aef=0,067 m2)</t>
  </si>
  <si>
    <t>429111411X41</t>
  </si>
  <si>
    <t xml:space="preserve">Poznámka k souboru cen:_x000D_
1. Montáž hadice pro odvod kondenzátu se oceňuje cenou 751 61-3141._x000D_
</t>
  </si>
  <si>
    <t>-1388408499</t>
  </si>
  <si>
    <t>Montáž ostatních zařízení dveřní mřížky dvoustranné</t>
  </si>
  <si>
    <t>751398039X40</t>
  </si>
  <si>
    <t>319111240</t>
  </si>
  <si>
    <t xml:space="preserve">Výústka v provedení odlučovač tuku - nerezová vertikální 400 x 200 mm (Aef= 0,097 m2) </t>
  </si>
  <si>
    <t>429111401X39</t>
  </si>
  <si>
    <t>https://podminky.urs.cz/item/CS_URS_2022_02/751311093</t>
  </si>
  <si>
    <t>-732387122</t>
  </si>
  <si>
    <t>Montáž vyústi čtyřhranné do čtyřhranného potrubí, průřezu přes 0,080 do 0,150 m2</t>
  </si>
  <si>
    <t>751311093</t>
  </si>
  <si>
    <t>-2129047654</t>
  </si>
  <si>
    <t xml:space="preserve">Výústka v provedení odlučovač tuku - nerezová vertikální 400 x 200 mm (Aef= 0,068 m2) </t>
  </si>
  <si>
    <t>429111391X38</t>
  </si>
  <si>
    <t>https://podminky.urs.cz/item/CS_URS_2022_02/751311092</t>
  </si>
  <si>
    <t>1867356561</t>
  </si>
  <si>
    <t>Montáž vyústi čtyřhranné do čtyřhranného potrubí, průřezu přes 0,040 do 0,080 m2</t>
  </si>
  <si>
    <t>751311092</t>
  </si>
  <si>
    <t>-1822470977</t>
  </si>
  <si>
    <t>Obdélníková vzduchotechnická výústka jednořadá 825 x 425 mm (Aef=0,2613 m2) regulace R1</t>
  </si>
  <si>
    <t>429111381X37</t>
  </si>
  <si>
    <t>https://podminky.urs.cz/item/CS_URS_2022_02/751311096</t>
  </si>
  <si>
    <t>1845534052</t>
  </si>
  <si>
    <t>Montáž vyústi čtyřhranné do čtyřhranného potrubí, průřezu přes 0,250 m2</t>
  </si>
  <si>
    <t>751311096</t>
  </si>
  <si>
    <t>190260363</t>
  </si>
  <si>
    <t>Tkaninová půlkruhová výustka půdorysně rovná – půlkruh průměr 400 mm celková dl. 10 500 mm včetně nástavce s přechodem na potrubí 400 x 200 mm dl.300 mm druhý konec zaslepen tkanina PMS-100% polyester nekonečné vlákno mikroperforace rovnoměrná barva bílá včetně dodávky uchycení a montážního materiálu - hliník profil</t>
  </si>
  <si>
    <t>429831111X36</t>
  </si>
  <si>
    <t>10,500</t>
  </si>
  <si>
    <t>https://podminky.urs.cz/item/CS_URS_2022_02/751311322</t>
  </si>
  <si>
    <t>2051535504</t>
  </si>
  <si>
    <t>Montáž vyústi textilní půlkruhové, průměru přes 200 do 400 mm</t>
  </si>
  <si>
    <t>751311322</t>
  </si>
  <si>
    <t>1746127936</t>
  </si>
  <si>
    <t>Přívodní vzduchotechnická hliníková dýza nastavitelná připojovací průměr 315 mm</t>
  </si>
  <si>
    <t>429725761X35</t>
  </si>
  <si>
    <t>https://podminky.urs.cz/item/CS_URS_2022_02/751322213</t>
  </si>
  <si>
    <t>-493117738</t>
  </si>
  <si>
    <t>Montáž talířových ventilů, anemostatů, dýz dýzy kruhové, průměru přes 200 do 300 mm</t>
  </si>
  <si>
    <t>751322213</t>
  </si>
  <si>
    <t>470434661</t>
  </si>
  <si>
    <t>Kruhová těsná uzavírací klapka průměr 200 mm (spiro) (Aef= 0,0305 m2) včetně servopohonu 230V s havarijní funkcí (s pružinou) pod napětím otevřeno bez napětí uzavřeno</t>
  </si>
  <si>
    <t>429111301X34</t>
  </si>
  <si>
    <t>https://podminky.urs.cz/item/CS_URS_2022_02/751514679</t>
  </si>
  <si>
    <t>1966132137</t>
  </si>
  <si>
    <t>Montáž škrtící klapky nebo zpětné klapky do plechového potrubí kruhové bez příruby, průměru přes 100 do 200 mm</t>
  </si>
  <si>
    <t>751514679</t>
  </si>
  <si>
    <t>-984993051</t>
  </si>
  <si>
    <t>Kruhová těsná uzavírací klapka průměr 160 mm (spiro) (Aef= 0,0194 m2) včetně servopohonu 230V s havarijní funkcí (s pružinou) pod napětím otevřeno bez napětí uzavřeno</t>
  </si>
  <si>
    <t>429111291X33</t>
  </si>
  <si>
    <t>-1522363980</t>
  </si>
  <si>
    <t>1351945963</t>
  </si>
  <si>
    <t xml:space="preserve">Čtyřhranná regulační klapka 560 x 355 mm ovládání ruční (Aef = 0,15 m2)   </t>
  </si>
  <si>
    <t>429111531X32</t>
  </si>
  <si>
    <t>https://podminky.urs.cz/item/CS_URS_2022_02/751514614</t>
  </si>
  <si>
    <t>1706407445</t>
  </si>
  <si>
    <t>Montáž škrtící klapky nebo zpětné klapky do plechového potrubí čtyřhranné s přírubou, průřezu přes 0,140 do 0,210 m2</t>
  </si>
  <si>
    <t>751514614</t>
  </si>
  <si>
    <t>-1260131987</t>
  </si>
  <si>
    <t xml:space="preserve">Čtyřhranná regulační klapka 630 x 315 mm ovládání ruční (Aef = 0,17 m2)   </t>
  </si>
  <si>
    <t>429111521X31</t>
  </si>
  <si>
    <t>-472754803</t>
  </si>
  <si>
    <t>-1646910769</t>
  </si>
  <si>
    <t xml:space="preserve">Čtyřhranná regulační klapka 400 x 355 mm ovládání ruční (Aef = 0,11 m2)   </t>
  </si>
  <si>
    <t>42911151X30</t>
  </si>
  <si>
    <t>https://podminky.urs.cz/item/CS_URS_2022_02/751514613</t>
  </si>
  <si>
    <t>-500733140</t>
  </si>
  <si>
    <t>Montáž škrtící klapky nebo zpětné klapky do plechového potrubí čtyřhranné s přírubou, průřezu přes 0,070 do 0,140 m2</t>
  </si>
  <si>
    <t>751514613</t>
  </si>
  <si>
    <t>-1191886634</t>
  </si>
  <si>
    <t>Kruhový tlumič hluku absorpční - průměr 160 mm (vnější průměr 250 mm) napojení spiro dl.300 mm</t>
  </si>
  <si>
    <t>42911141X29</t>
  </si>
  <si>
    <t>https://podminky.urs.cz/item/CS_URS_2022_02/751344112</t>
  </si>
  <si>
    <t>158898185</t>
  </si>
  <si>
    <t>Montáž tlumičů hluku pro kruhové potrubí, průměru přes 100 do 200 mm</t>
  </si>
  <si>
    <t>751344112</t>
  </si>
  <si>
    <t>2074315515</t>
  </si>
  <si>
    <t>Buňkový tlumič - buňky ve sdruženém plášti (pozinkovaný plech) 800 x 500 mm - délka 1 000 mm jeden konec s náběhem / výběhem druhý konec tupý pro napojení druhého tlumiče - buňka (4 ks) v provedení s děrovaným plechem šířky 197 mm výšky 497 mm dl. 1 000 mm v hygienickém provedení s vnitřní plastovou fólií do 80°C hlukové údaje - útlum viz technická specifikace</t>
  </si>
  <si>
    <t>42911129X28</t>
  </si>
  <si>
    <t>https://podminky.urs.cz/item/CS_URS_2022_02/751344123</t>
  </si>
  <si>
    <t>-308255279</t>
  </si>
  <si>
    <t>Montáž tlumičů hluku pro čtyřhranné potrubí, průřezu přes 0,300 do 0,450 m2</t>
  </si>
  <si>
    <t>751344123</t>
  </si>
  <si>
    <t>-1827019927</t>
  </si>
  <si>
    <t>Buňkový tlumič - buňky ve sdruženém plášti (pozinkovaný plech) 800 x 500 mm - délka 1 000 mm s náběhy a výběhy - buňka (4 ks) v provedení s děrovaným plechem šířky 197 mm výšky 497 mm dl. 1 000 mm v hygienickém provedení s vnitřní plastovou fólií do 80°C hlukové údaje - útlum viz technická specifikace</t>
  </si>
  <si>
    <t>42911128X27</t>
  </si>
  <si>
    <t>-11672157</t>
  </si>
  <si>
    <t>2037741887</t>
  </si>
  <si>
    <t>tlumící spojovací manžety průměr 160 mm</t>
  </si>
  <si>
    <t>429177241X26</t>
  </si>
  <si>
    <t>-1680301544</t>
  </si>
  <si>
    <t>Potrubní radiální ventilátor nízkotlaký do kruhového potrubí průměr 160 mm 230 V příkon 53 W průtok 300 m3/h statický tlak H=135 Pa IP 44 hlukové údaje viz technická specifikace</t>
  </si>
  <si>
    <t>429177231X25</t>
  </si>
  <si>
    <t>https://podminky.urs.cz/item/CS_URS_2022_02/751122092</t>
  </si>
  <si>
    <t>509771689</t>
  </si>
  <si>
    <t>Montáž ventilátoru radiálního nízkotlakého potrubního základního do kruhového potrubí, průměru přes 100 do 200 mm</t>
  </si>
  <si>
    <t>751122092</t>
  </si>
  <si>
    <t>653403679</t>
  </si>
  <si>
    <t>Zprovoznění a seřízení vzduchotechnické jednotky servisním technikem výrobce</t>
  </si>
  <si>
    <t>751151115X24</t>
  </si>
  <si>
    <t>-1985094146</t>
  </si>
  <si>
    <t>Vzduchotechnická obousměrná komorová větrací jednotka (přívod, odvod) s rekuperací tepla  umístění komor nad sebou modulární velikost komory šířka 1 030 x výška 720 mm (celkem šířka 1 030 x výška 1 440 mm) vnitřní provedení opláštění jednotky PZ plech uvnitř i vně výplň PUR          _x000D_
Průtok Vp=Vo=4 000 m3/h externí tlak přívod/odvod 350/350 Pa servopohony a čidla jsou dodávkou profese MaR (zapojení a prokabelování provede profese MaR) /přesná specifikace viz technická specifikace vzduchotechniky/_x000D_
Transportní sekce č.1 (š = 1 030 mm x v = 720 mm x dl.= 630 mm):_x000D_
Sekce - komora se skládá : tlumící manžety, čelní vnější celoplošná klapka, filtr dlouhý kapsový M5 s manostaty_x000D_
Transportní sekce č. 2 (š = 1 030 mm x v = 1 440mm x dl.= 1 550 mm):_x000D_
Sekce - komora se skládá : deskový rekuperační výměník s obtokem - v rozloženém stavu –montáž na místě  _x000D_
transportní sekce je osazena na montážním rámu z C profilů výšky 120 mm_x000D_
Transportní sekce č.3 (š = 1 030 mm x v = 720 mm x dl.= 940 mm):_x000D_
Sekce - komora se skládá : odvodní ventilátor - volné oběžné kolo, motor ventilátoru řízen frekvenčním měničem (3x230V/50Hz), čelní vnější celoplošná klapka, tlumící manžeta_x000D_
transportní sekce je osazena na montážním rámu z C profilů výšky 120 mm_x000D_
Transportní sekce č.4 (š = 1 030 mm x v = 720 mm x dl.= 940 mm):_x000D_
Sekce - komora se skládá : tlumící manžeta, čelní vnější celoplošná klapka, klapková komora s vnitřní celoplošnou klapkou, filtr dlouhý kapsový F7 s manostatem_x000D_
 Transportní sekce č.5 (š = 1 550 mm x v = 1 340 mm x dl.= 1 560 mm):_x000D_
Sekce - komora se skládá : přívodní ventilátor - volné oběžné kolo, motor ventilátoru řízen frekvenčním měničem (3x230V/50Hz), vodní ohřívač, protimrazová ochrana, chladič - výparník s přímým výparem (R32), tlumící manžeta        _x000D_
transportní sekce je osazena na montážním rámu z C profilů výšky 120 mm_x000D_
Větrací jednotka splňuje požadavky Nařízení komise EU č. 1253-2014 Ecodesign, posuzování shody s požadavky od r. 2018 pro obousměrné větrací jednotky (BVU)</t>
  </si>
  <si>
    <t>42911113X23</t>
  </si>
  <si>
    <t>-1969286336</t>
  </si>
  <si>
    <t xml:space="preserve">Montáž vzduchotechnické jednotky - sestavení jednotlivých přepravních částí - komor </t>
  </si>
  <si>
    <t>75114X022</t>
  </si>
  <si>
    <t>1511975116</t>
  </si>
  <si>
    <t>Montaž - sestavení komory rekuperátoru vzduchotechnické jednotky na místě</t>
  </si>
  <si>
    <t>75114X021</t>
  </si>
  <si>
    <t>Vzduchotechnika - Zařízení "2"</t>
  </si>
  <si>
    <t>751-2</t>
  </si>
  <si>
    <t>https://podminky.urs.cz/item/CS_URS_2022_02/751344825</t>
  </si>
  <si>
    <t>931816693</t>
  </si>
  <si>
    <t>Demontáž tlumičů hluku pro čtyřhranné potrubí, průřezu přes 0,600 m2</t>
  </si>
  <si>
    <t>751344825</t>
  </si>
  <si>
    <t>https://podminky.urs.cz/item/CS_URS_2022_02/751511808</t>
  </si>
  <si>
    <t>-634831846</t>
  </si>
  <si>
    <t>Demontáž potrubí plechového skupiny I čtyřhranného s přírubou nebo bez příruby tloušťky plechu 0,8 mm, průřezu přes 1,13 do 1,54 m2</t>
  </si>
  <si>
    <t>751511808</t>
  </si>
  <si>
    <t>2,00+2,80</t>
  </si>
  <si>
    <t>https://podminky.urs.cz/item/CS_URS_2022_02/751511807</t>
  </si>
  <si>
    <t>-1647180292</t>
  </si>
  <si>
    <t>Demontáž potrubí plechového skupiny I čtyřhranného s přírubou nebo bez příruby tloušťky plechu 0,8 mm, průřezu přes 0,50 do 1,13 m2</t>
  </si>
  <si>
    <t>751511807</t>
  </si>
  <si>
    <t>675893970</t>
  </si>
  <si>
    <t>https://podminky.urs.cz/item/CS_URS_2022_02/751123825</t>
  </si>
  <si>
    <t>-1225570784</t>
  </si>
  <si>
    <t>Demontáž ventilátoru radiálního nízkotlakého čtyřhranné potrubí, průřezu přes 0,420 do 0,700 m²</t>
  </si>
  <si>
    <t>751123825</t>
  </si>
  <si>
    <t>-1435857535</t>
  </si>
  <si>
    <t xml:space="preserve">Přesun demontované stávající jednotky za použití jeřábu (výška přesunu 5 m) </t>
  </si>
  <si>
    <t>751612881X19</t>
  </si>
  <si>
    <t>-154624852</t>
  </si>
  <si>
    <t>Demontáž stávající vzduchotechnické jednotky (KLM 25) rozpojení jednotlivých komor na místě rozebrání komory rekuperátoru vzhledem k velikosti montážního otvoru_x000D_
sekce přívodního ventilátoru 1 600 x 1 600 mm dl. 1 800 mm_x000D_
sekce ohřevu vzduchu 1 600 x 1 600 mm dl. 250 mm_x000D_
sekce filtrace 1 600 x 1 600 mm dl. 500 mm_x000D_
sekce filtrace 1 600 x 1 600 mm dl. 750 mm_x000D_
sekce volná komora 1 600 x 1 600 mm dl. 500 mm</t>
  </si>
  <si>
    <t>751612880X18</t>
  </si>
  <si>
    <t>-1851362500</t>
  </si>
  <si>
    <t>-561929740</t>
  </si>
  <si>
    <t>1009392576</t>
  </si>
  <si>
    <t>Čištění stávajícího páteřního plechového vzduchotechnického potrubí V 1.PP a stoupačky do 1.NP a rozvod v 1.NP A stoupačka odpadního vzduchu do 2.NP otvory po demontovaném potrubí nebo stávajícími revizními otvory (včetně otevření a uzavření stávajících revizních otvorů) potrubí od plochy od 1,13 do 1,56 m2</t>
  </si>
  <si>
    <t>75199X304</t>
  </si>
  <si>
    <t>-568883454</t>
  </si>
  <si>
    <t>Čištění stávajícího páteřního plechového vzduchotechnického potrubí V 1.PP a stoupačky do 1.NP a rozvod v 1.NP A stoupačka odpadního vzduchu do 2.NP otvory po demontovaném potrubí nebo stávajícími revizními otvory (včetně otevření a uzavření stávajících revizních otvorů) potrubí od plochy od 0,79 do 1,13 m2</t>
  </si>
  <si>
    <t>75199X303</t>
  </si>
  <si>
    <t>1400576502</t>
  </si>
  <si>
    <t>Čištění stávajícího páteřního plechového vzduchotechnického potrubí V 1.PP a stoupačky do 1.NP a rozvod v 1.NP A stoupačka odpadního vzduchu do 2.NP otvory po demontovaném potrubí nebo stávajícími revizními otvory (včetně otevření a uzavření stávajících revizních otvorů) potrubí od plochy od 0,50 do 0,79 m2</t>
  </si>
  <si>
    <t>75199X302</t>
  </si>
  <si>
    <t>1777662568</t>
  </si>
  <si>
    <t>Čištění stávajícího páteřního plechového vzduchotechnického potrubí V 1.PP a stoupačky do 1.NP a rozvod v 1.NP A stoupačka odpadního vzduchu do 2.NP otvory po demontovaném potrubí nebo stávajícími revizními otvory (včetně otevření a uzavření stávajících revizních otvorů) potrubí od plochy od 0,28 do 0,5 m2</t>
  </si>
  <si>
    <t>75199X301</t>
  </si>
  <si>
    <t>-733647019</t>
  </si>
  <si>
    <t>Zaregulování vzduchotechnických rozvodů dodavatelem vzduchotechniky</t>
  </si>
  <si>
    <t>75199X101</t>
  </si>
  <si>
    <t>978669283</t>
  </si>
  <si>
    <t>Pomocný spojovací, těsnící a montážní materiál zařízení "1"</t>
  </si>
  <si>
    <t>75199X001</t>
  </si>
  <si>
    <t>11,00</t>
  </si>
  <si>
    <t xml:space="preserve">                        a odvodního ventilátoru</t>
  </si>
  <si>
    <t xml:space="preserve">Zařízení "1" Větrání  kuchyně výměna přívodní vzduchotechnické jednotky </t>
  </si>
  <si>
    <t>-2140933765</t>
  </si>
  <si>
    <t>1492483716</t>
  </si>
  <si>
    <t>Příplatek za zhotovení revizního otvoru včetně dodávky a montáže těsných revizních dvířek rozměru 600 x 600 mm</t>
  </si>
  <si>
    <t>751510087X17</t>
  </si>
  <si>
    <t>-921992489</t>
  </si>
  <si>
    <t>Příplatek za zhotovení revizního otvoru včetně dodávky a montáže těsných revizních dvířek rozměru 500 x 600 mm</t>
  </si>
  <si>
    <t>751510086X16</t>
  </si>
  <si>
    <t>3,70</t>
  </si>
  <si>
    <t>https://podminky.urs.cz/item/CS_URS_2022_02/751510019</t>
  </si>
  <si>
    <t>-493229921</t>
  </si>
  <si>
    <t>Vzduchotechnické potrubí z pozinkovaného plechu čtyřhranné s přírubou, průřezu přes 1,54 do 2,01 m2</t>
  </si>
  <si>
    <t>751510019</t>
  </si>
  <si>
    <t>4,20</t>
  </si>
  <si>
    <t>https://podminky.urs.cz/item/CS_URS_2022_02/751510018</t>
  </si>
  <si>
    <t>-979453310</t>
  </si>
  <si>
    <t>Vzduchotechnické potrubí z pozinkovaného plechu čtyřhranné s přírubou, průřezu přes 1,13 do 1,54 m2</t>
  </si>
  <si>
    <t>751510018</t>
  </si>
  <si>
    <t>1,80</t>
  </si>
  <si>
    <t>https://podminky.urs.cz/item/CS_URS_2022_02/751510017</t>
  </si>
  <si>
    <t>1494564773</t>
  </si>
  <si>
    <t>Vzduchotechnické potrubí z pozinkovaného plechu čtyřhranné s přírubou, průřezu přes 0,79 do 1,13 m2</t>
  </si>
  <si>
    <t>751510017</t>
  </si>
  <si>
    <t>5,50</t>
  </si>
  <si>
    <t>-1504787437</t>
  </si>
  <si>
    <t>1,00</t>
  </si>
  <si>
    <t>-742449311</t>
  </si>
  <si>
    <t>-1484940164</t>
  </si>
  <si>
    <t>Kruhová těsná uzavírací klapka průměr 250 mm (spiro) (Aef= 0,0479 m2) včetně servopohonu 230V s havarijní funkcí (s pružinou) pod napětím otevřeno bez napětí uzavřeno</t>
  </si>
  <si>
    <t>429111281X15</t>
  </si>
  <si>
    <t>https://podminky.urs.cz/item/CS_URS_2022_02/751514680</t>
  </si>
  <si>
    <t>-1698951819</t>
  </si>
  <si>
    <t>Montáž škrtící klapky nebo zpětné klapky do plechového potrubí kruhové bez příruby, průměru přes 200 do 300 mm</t>
  </si>
  <si>
    <t>751514680</t>
  </si>
  <si>
    <t>378711147</t>
  </si>
  <si>
    <t>429111271X14</t>
  </si>
  <si>
    <t>-1866984851</t>
  </si>
  <si>
    <t>-788940626</t>
  </si>
  <si>
    <t xml:space="preserve">Čtyřhranná regulační klapka 1 250 x 1 000 mm ovládání ruční (Aef = 1,125 m2) 10 listů   </t>
  </si>
  <si>
    <t>42911142X13</t>
  </si>
  <si>
    <t>https://podminky.urs.cz/item/CS_URS_2022_02/751514629</t>
  </si>
  <si>
    <t>694914359</t>
  </si>
  <si>
    <t>Montáž škrtící klapky nebo zpětné klapky do plechového potrubí čtyřhranné s přírubou, průřezu přes 1,190 do 1,260 m2</t>
  </si>
  <si>
    <t>751514629</t>
  </si>
  <si>
    <t>-1211270254</t>
  </si>
  <si>
    <t xml:space="preserve">Čtyřhranná regulační klapka 1 000 x 1 250 mm ovládání ruční (Aef = 1,08 m2) 12 listů  </t>
  </si>
  <si>
    <t>42911141X12</t>
  </si>
  <si>
    <t>-1395519097</t>
  </si>
  <si>
    <t>-460569822</t>
  </si>
  <si>
    <t>Kruhový tlumič hluku absorpční - průměr 160 mm (vnější průměr 250 mm) napojení spiro dl.600 mm</t>
  </si>
  <si>
    <t>42911131X11</t>
  </si>
  <si>
    <t>511666457</t>
  </si>
  <si>
    <t>-1537383694</t>
  </si>
  <si>
    <t>Buňkový tlumič - buňky ve sdruženém plášti (pozinkovaný plech) 1 250 x 1 000 mm - délka 1 000 mm s náběhy a výběhy - buňka (10 ks) v provedení s děrovaným plechem šířky 247 mm výšky 497 mm dl. 1 000 mm v hygienickém provedení s vnitřní plastovou fólií do 80°C hlukové údaje - útlum viz technická specifikace</t>
  </si>
  <si>
    <t>42911127X10</t>
  </si>
  <si>
    <t>https://podminky.urs.cz/item/CS_URS_2022_02/751344125</t>
  </si>
  <si>
    <t>1847960819</t>
  </si>
  <si>
    <t>Montáž tlumičů hluku pro čtyřhranné potrubí, průřezu přes 0,600 m2</t>
  </si>
  <si>
    <t>751344125</t>
  </si>
  <si>
    <t>-1644739602</t>
  </si>
  <si>
    <t>Buňkový tlumič - buňky ve sdruženém plášti (pozinkovaný plech) 1 000 x 1 250 mm - délka 1 000 mm s náběhy a výběhy - buňka (10 ks) v provedení s děrovaným plechem šířky 247 mm výšky 497 mm dl. 1 000 mm v hygienickém provedení s vnitřní plastovou fólií do 80°C hlukové údaje - útlum viz technická specifikace</t>
  </si>
  <si>
    <t>42911126X09</t>
  </si>
  <si>
    <t>1365147528</t>
  </si>
  <si>
    <t>1685696501</t>
  </si>
  <si>
    <t xml:space="preserve">tlumící spojovací manžety průměr 200 mm  </t>
  </si>
  <si>
    <t>429177221X08</t>
  </si>
  <si>
    <t>-2017428631</t>
  </si>
  <si>
    <t>Potrubní radiální ventilátor nízkotlaký do kruhového potrubí průměr 200 mm 230 V příkon 102 W průtok 550 m3/h statický tlak H=160 Pa IP 44 hlukové údaje viz technická specifikace</t>
  </si>
  <si>
    <t>429177211X06</t>
  </si>
  <si>
    <t>1132151964</t>
  </si>
  <si>
    <t>-1277797968</t>
  </si>
  <si>
    <t>Ventilátor středotlaký jednostranně sací poháněný přímo s patkovým motorem velikost 800 na stoličce (PM) standard pozinkovaný varianta lakovaný celý ventilátor 010 – poloha 1 výtlak u podstavné desky vpravo při pohledu na sací hrdlo sání průměr 800 mm výtlak 560 x 800  mm podstavná deska 1 050 x 1 300 mm celková výška1 525 mm  _x000D_
pružná vložka na výtlaku 560 x 800 mm (mezi výtlak ventilátoru a potrubí)_x000D_
pružná vložka na sání průměr 800 mm (mezi sání ventilátoru a potrubí)  _x000D_
odvodnění trubka na čele ventilátoru_x000D_
Technické parametry :_x000D_
Průtok 20 200 m3/h 5,611 m3/s  _x000D_
Celkový tlak 1 101 Pa_x000D_
Velikost D 800 vnitřní provedení_x000D_
Otáčky 1 080 ot/min _x000D_
Izolátory chvění 4 ks P66 (600930)_x000D_
Napětí 3~ 400 V 50 Hz _x000D_
Výkon 11 kW  příkon 10,95 kW_x000D_
Frekvenční měnič : FM 11 kW 23A 3x400 V IP21 +  panel</t>
  </si>
  <si>
    <t>429176611X05</t>
  </si>
  <si>
    <t>https://podminky.urs.cz/item/CS_URS_2022_02/751122678</t>
  </si>
  <si>
    <t>-752344966</t>
  </si>
  <si>
    <t>Montáž ventilátoru radiálního středotlakého potrubního se spirální skříní průmyslového pohon na přímo do čtyřhranného potrubí, průřezu přes 0,420 do 0,490 m2</t>
  </si>
  <si>
    <t>751122678</t>
  </si>
  <si>
    <t>-604501769</t>
  </si>
  <si>
    <t>751151114X04</t>
  </si>
  <si>
    <t>791542138</t>
  </si>
  <si>
    <t>Přemístění vzduchotechnické jednotky do hloubky 3,0 m (do anglického dvorku budovy pomocí jeřábu (hmotnost jednotky cca 3250 kg)</t>
  </si>
  <si>
    <t>75114X003</t>
  </si>
  <si>
    <t>-1761555044</t>
  </si>
  <si>
    <t>vlastni</t>
  </si>
  <si>
    <t>Vzduchotechnická obousměrná komorová větrací jednotka (přívod, odvod) s rekuperací tepla umístění komor vedle sebe modulární velikost komory šířka 1 650 x výška 1 340 mm (celkem šířka 3 300 x výška 1 340 mm) vnitřní provedení opláštění jednotky PZ plech uvnitř i vně výplň PUR    _x000D_
Průtok  Vp=Vo= 20 200 m3/h (5,611 m3/s) externí tlak přívod/odvod 450/500Pa_x000D_
servopohony a čidla jsou dodávkou profese MaR_x000D_
(zapojení a prokabelování provede profese MaR)                 _x000D_
/přesná specifikace viz technická specifikace vzduchotechniky/_x000D_
Transportní sekce č. 1 (š= 1 650 mm x v=1 340 mm x dl.= 1 560 mm):_x000D_
Sekce - komora se skládá : tlumící manžety, čelní vnější celoplošná klapka, filtr kovový G3, filtr krátký kapsový G4, filtry s manostaty, volná komora (310 mm)_x000D_
Transportní sekce je osazena na montážním rámu z C profilů výšky 120 mm_x000D_
Transportní sekce č. 2 (š= 3 300 mm x v=1 340 mm x dl.= 3 100 mm):_x000D_
Sekce - komora se skládá : deskový rekuperační výměník s obtokem - v rozloženém stavu -montáž na místě _x000D_
Transportní sekce je osazena na montážním rámu z C profilů výšky 120 mm_x000D_
Transportní sekce č.3 (š= 1 650 mm x v=1 340 mm x dl.= 630 mm):_x000D_
Sekce - komora se skládá : volná komora (310 mm), klapková komora s vnitřní celoplošnou klapkou, tlumící manžeta _x000D_
Transportní sekce je osazena na montážním rámu z C profilů výšky 120 mm_x000D_
Transportní sekce č.4 (š= 1 650 mm x v=1 340 mm x dl.= 630 mm):_x000D_
Sekce - komora se skládá : tlumící manžeta, čelní vnější celoplošná klapka, filtr dlouhý kapsový F7 _x000D_
s manostatem_x000D_
Transportní sekce je osazena na montážním rámu z C profilů výšky 120 mm_x000D_
Transportní sekce č.5 (š= 1 650 mm x v=1 340 mm x dl.= 2 490 mm):_x000D_
Sekce - komora se skládá : vodní ohřívač, protimrazová ochrana, chladič - výparník s přímým výparem (R410A), přívodní ventilátor - volné oběžné kolo, motor ventilátoru řízen frekvenčním měničem (3x400V/50Hz), horní tlumící manžeta        _x000D_
Transportní sekce je osazena na montážním rámu z C profilů výšky 120 mm</t>
  </si>
  <si>
    <t>42911111X01</t>
  </si>
  <si>
    <t>1593242430</t>
  </si>
  <si>
    <t>75114X002</t>
  </si>
  <si>
    <t>1612535954</t>
  </si>
  <si>
    <t>75114X001</t>
  </si>
  <si>
    <t>Vzduchotechnika - Zařízení "1"</t>
  </si>
  <si>
    <t>751-1</t>
  </si>
  <si>
    <t>https://podminky.urs.cz/item/CS_URS_2022_02/998721192</t>
  </si>
  <si>
    <t>-586670978</t>
  </si>
  <si>
    <t>Přesun hmot pro vnitřní kanalizace stanovený z hmotnosti přesunovaného materiálu Příplatek k ceně za zvětšený přesun přes vymezenou největší dopravní vzdálenost do 100 m</t>
  </si>
  <si>
    <t>998721192</t>
  </si>
  <si>
    <t>https://podminky.urs.cz/item/CS_URS_2022_02/998721102</t>
  </si>
  <si>
    <t>-1138418590</t>
  </si>
  <si>
    <t>Přesun hmot pro vnitřní kanalizace stanovený z hmotnosti přesunovaného materiálu vodorovná dopravní vzdálenost do 50 m v objektech výšky přes 6 do 12 m</t>
  </si>
  <si>
    <t>998721102</t>
  </si>
  <si>
    <t>-1253990200</t>
  </si>
  <si>
    <t xml:space="preserve">Plastový sifón s mechanickým uzávěrem (uzavírací kuličkou) včetně montáže </t>
  </si>
  <si>
    <t>721226531X01</t>
  </si>
  <si>
    <t>-1646366705</t>
  </si>
  <si>
    <t>Potrubní přípojka připojovacího potrubí kanalizace DN 40 mm</t>
  </si>
  <si>
    <t>721171922X04</t>
  </si>
  <si>
    <t>1590002931</t>
  </si>
  <si>
    <t>Potrubní přípojka připojovacího potrubí kanalizace DN 32 mm</t>
  </si>
  <si>
    <t>721171921X03</t>
  </si>
  <si>
    <t>https://podminky.urs.cz/item/CS_URS_2022_02/721171905</t>
  </si>
  <si>
    <t>1773180465</t>
  </si>
  <si>
    <t>Opravy odpadního potrubí plastového vsazení odbočky do potrubí DN 110</t>
  </si>
  <si>
    <t>721171905</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</si>
  <si>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</si>
  <si>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https://podminky.urs.cz/item/CS_URS_2022_02/721174042</t>
  </si>
  <si>
    <t>2104976936</t>
  </si>
  <si>
    <t>Potrubí z trub polypropylenových připojovací DN 40</t>
  </si>
  <si>
    <t>721174042</t>
  </si>
  <si>
    <t>341323101</t>
  </si>
  <si>
    <t>Potrubí z trub polypropylenových DN 32 mm</t>
  </si>
  <si>
    <t>721174041X02</t>
  </si>
  <si>
    <t>Zdravotechnika - vnitřní kanalizace</t>
  </si>
  <si>
    <t>-1812283113</t>
  </si>
  <si>
    <t>Odstranění tepelné izolace těles povrchové úpravy pevné izolace jakékoliv tloušťky (bez řezání ocelové konstrukce plamenem) z polyetylenu bez povrchové úpravy</t>
  </si>
  <si>
    <t>713300873X14</t>
  </si>
  <si>
    <t>878951953</t>
  </si>
  <si>
    <t>571619855</t>
  </si>
  <si>
    <t>-171389260</t>
  </si>
  <si>
    <t>Systémové řešení - protipožární utěsnění (EI30) prostupu potrubí chlazení včetně tepelné izolace požárně dělící konstrukcí sádrokartonovou příčkou vnější průměr včetně tepelné izolace (kaučuk) 53 mm</t>
  </si>
  <si>
    <t>713591117X13</t>
  </si>
  <si>
    <t>-1561809922</t>
  </si>
  <si>
    <t>Systémové řešení - protipožární utěsnění (EI30) prostupu potrubí chlazení včetně tepelné izolace požárně dělící konstrukcí sádrokartonovou příčkou vnější průměr včetně tepelné izolace (kaučuk) 30 mm</t>
  </si>
  <si>
    <t>713591116X12</t>
  </si>
  <si>
    <t>-1513132279</t>
  </si>
  <si>
    <t>tepelná izolace z flexibilního elastomerního izolačního materiálu s uzavřenými buňkami (syntetický kaučuk) materiál tepelné izolace - sysntetický kaučuk pro chlazení součinitel difuze μ=10 000 použití od -50°C do +80°C součinitel tepelné vodivosti λ=0,034 W/mK při 0°C samozhášecí oheň nešířící a při ohni neskapávající černá barva pásy svinuté do role z jedné strany lepivé se sítí zabraňující nežádoucímu protažení pásu tl.32 mm</t>
  </si>
  <si>
    <t>283777441X11</t>
  </si>
  <si>
    <t xml:space="preserve">                          odpadního vzduchu (viz výkres) </t>
  </si>
  <si>
    <t xml:space="preserve">31,00             "výměna tepelné izolace v kuchyni 1.NP stoupačka z 1.PP a potrubí pod stropem </t>
  </si>
  <si>
    <t>525775846</t>
  </si>
  <si>
    <t xml:space="preserve">Kompletní montáž tepelné izolace na bázi syntetického kaučuku vzduchotechnického potrubí včetně spojovacího, pomocného a montážního materiálu jednovrstvé tl. 32 mm </t>
  </si>
  <si>
    <t>713361214X10</t>
  </si>
  <si>
    <t>8737177</t>
  </si>
  <si>
    <t>Potrubní izolační pouzdro z minerálních vláken s Al fólií tl. 50 mm (OH 65 až 80 kg/m3 MST 250°C/100°C) průměr 42 mm (izolace odvodu kondenzátu v podkroví)</t>
  </si>
  <si>
    <t>63177770X09</t>
  </si>
  <si>
    <t>-1534695681</t>
  </si>
  <si>
    <t>713463529X08</t>
  </si>
  <si>
    <t>-1811386703</t>
  </si>
  <si>
    <t>Lamelový skružovaný pás vyrobený z kamenné (minerální) plsti tl.40 mm hydrofobizované s hliníkovou fóliíi třída reakce na oheň A2 objemová hmotnost 55 kg/m3 MST 600°C/100°C</t>
  </si>
  <si>
    <t>6312532X07</t>
  </si>
  <si>
    <t>1078027379</t>
  </si>
  <si>
    <t>Kompletní montáž tepelné izolace z minerální plsti tl.40 mm vzduchotechnického potrubí včetně spojovacího, pomocného a montážního materiálu jednovrstvé</t>
  </si>
  <si>
    <t>713311134X06</t>
  </si>
  <si>
    <t>686813147</t>
  </si>
  <si>
    <t>Lamelový skružovaný pás vyrobený z kamenné (minerální) plsti tl.50 mm hydrofobizované s hliníkovou fóliíi třída reakce na oheň A2 objemová hmotnost 55 kg/m3 MST 600°C/100°C</t>
  </si>
  <si>
    <t>6312531X04</t>
  </si>
  <si>
    <t>611019584</t>
  </si>
  <si>
    <t>Kompletní montáž tepelné izolace z minerální plsti tl.100 mm (2x 50 mm) vzduchotechnického potrubí včetně spojovacího, pomocného a montážního materiálu dvouvrstvé</t>
  </si>
  <si>
    <t>713311135X05</t>
  </si>
  <si>
    <t>-2081001014</t>
  </si>
  <si>
    <t>797404622</t>
  </si>
  <si>
    <t>Kompletní montáž tepelné izolace z minerální plsti tl.50 mm vzduchotechnického potrubí včetně spojovacího, pomocného a montážního materiálu jednovrstvé</t>
  </si>
  <si>
    <t>713311133X03</t>
  </si>
  <si>
    <t>448605121</t>
  </si>
  <si>
    <t>tepelná izolace z flexibilního elastomerního izolačního materiálu s uzavřenými buňkami (syntetický kaučuk) materiál tepelné izolace - sysntetický kaučuk pro chlazení součinitel difuze μ=10 000 použití od -50°C do +80°C součinitel tepelné vodivosti λ=0,034 W/mK při 0°C samozhášecí oheň nešířící a při ohni neskapávající černá barva pásy svinuté do role z jedné strany lepivé se sítí zabraňující nežádoucímu protažení pásu tl.50 mm</t>
  </si>
  <si>
    <t>283777431X02</t>
  </si>
  <si>
    <t>602309063</t>
  </si>
  <si>
    <t>Kompletní montáž tepelné izolace na bázi syntetického kaučuku vzduchotechnického potrubí včetně spojovacího, pomocného a montážního materiálu jednovrstvé tl. 50 mm</t>
  </si>
  <si>
    <t>713361213X01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</si>
  <si>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</si>
  <si>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https://podminky.urs.cz/item/CS_URS_2022_02/998017002</t>
  </si>
  <si>
    <t>1452311742</t>
  </si>
  <si>
    <t>Přesun hmot pro budovy občanské výstavby, bydlení, výrobu a služby s omezením mechanizace vodorovná dopravní vzdálenost do 100 m pro budovy s jakoukoliv nosnou konstrukcí výšky přes 6 do 12 m</t>
  </si>
  <si>
    <t>998017002</t>
  </si>
  <si>
    <t>Přesun hmot</t>
  </si>
  <si>
    <t>998</t>
  </si>
  <si>
    <t>3,490-0,121</t>
  </si>
  <si>
    <t>866094834</t>
  </si>
  <si>
    <t>-1921197232</t>
  </si>
  <si>
    <t>1530416680</t>
  </si>
  <si>
    <t>3,490*9</t>
  </si>
  <si>
    <t>-46014248</t>
  </si>
  <si>
    <t>-320560627</t>
  </si>
  <si>
    <t>1373825287</t>
  </si>
  <si>
    <t xml:space="preserve">Provozní zkouška včetně zaškolení obsluhy </t>
  </si>
  <si>
    <t>99997X003</t>
  </si>
  <si>
    <t>848660996</t>
  </si>
  <si>
    <t>Zpracování provozního řádu pro obsluhu a údržbu zaškolení obsluhy schémata doklady o revizích</t>
  </si>
  <si>
    <t>99998X002</t>
  </si>
  <si>
    <t>-1112846763</t>
  </si>
  <si>
    <t>Výrobní dokumentace pro výrobu a montáž vzduchotechniky</t>
  </si>
  <si>
    <t>99997X001</t>
  </si>
  <si>
    <t xml:space="preserve">60,00               "pro montáž vzduchotechniky (výška max. 1,8 m) </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</si>
  <si>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</si>
  <si>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https://podminky.urs.cz/item/CS_URS_2022_02/949101111</t>
  </si>
  <si>
    <t>-940458346</t>
  </si>
  <si>
    <t>Lešení pomocné pracovní pro objekty pozemních staveb pro zatížení do 150 kg/m2, o výšce lešeňové podlahy do 1,9 m</t>
  </si>
  <si>
    <t>949101111</t>
  </si>
  <si>
    <t xml:space="preserve">    751-5 - Vzduchotechnika - Zařízení "5"</t>
  </si>
  <si>
    <t xml:space="preserve">    751-4 - Vzduchotechnika - Zařízení "4"</t>
  </si>
  <si>
    <t xml:space="preserve">    751-3 - Vzduchotechnika - Zařízení "3"</t>
  </si>
  <si>
    <t xml:space="preserve">    751-2 - Vzduchotechnika - Zařízení "2"</t>
  </si>
  <si>
    <t xml:space="preserve">    751-1 - Vzduchotechnika - Zařízení "1"</t>
  </si>
  <si>
    <t xml:space="preserve">    721 - Zdravotechnika - vnitřní kanalizace</t>
  </si>
  <si>
    <t>PSV - PSV</t>
  </si>
  <si>
    <t xml:space="preserve">    998 - Přesun hmot</t>
  </si>
  <si>
    <t>PŘESNÝ POPIS JEDNOTLIVÝCH POLOŽEK VIZ TECHNICKÁ SPECIFIKACE VZDUCHOTECHNIKY</t>
  </si>
  <si>
    <t>D.1.4.3 - Zařízení vzduchotechniky a chlazení</t>
  </si>
  <si>
    <t>{5205eaf5-7111-438c-ad5b-e558ede14f08}</t>
  </si>
  <si>
    <t>{32e70d06-0889-415b-8f00-06f25b323b0f}</t>
  </si>
  <si>
    <t>IMPORT</t>
  </si>
  <si>
    <t>STA</t>
  </si>
  <si>
    <t>Zařízení vzduchotechniky a chlazení</t>
  </si>
  <si>
    <t>/</t>
  </si>
  <si>
    <t>{00000000-0000-0000-0000-000000000000}</t>
  </si>
  <si>
    <t>###NOIMPORT###</t>
  </si>
  <si>
    <t>Základna_x000D_
DPH nulová</t>
  </si>
  <si>
    <t>Základna_x000D_
DPH sníž. přenesená</t>
  </si>
  <si>
    <t>Základna_x000D_
DPH zákl. přenesená</t>
  </si>
  <si>
    <t>Základna_x000D_
DPH snížená</t>
  </si>
  <si>
    <t>Základna_x000D_
DPH základní</t>
  </si>
  <si>
    <t>DPH snížená přenesená_x000D_
[CZK]</t>
  </si>
  <si>
    <t>DPH základní přenesená_x000D_
[CZK]</t>
  </si>
  <si>
    <t>DPH snížená [CZK]</t>
  </si>
  <si>
    <t>DPH základní [CZK]</t>
  </si>
  <si>
    <t>Normohodiny [h]</t>
  </si>
  <si>
    <t>DPH [CZK]</t>
  </si>
  <si>
    <t>z toho Ostat._x000D_
náklady [CZK]</t>
  </si>
  <si>
    <t>Cena s DPH [CZK]</t>
  </si>
  <si>
    <t>Cena bez DPH [CZK]</t>
  </si>
  <si>
    <t>Informatívní údaje z listů zakázek</t>
  </si>
  <si>
    <t>Kód:</t>
  </si>
  <si>
    <t>REKAPITULACE OBJEKTŮ STAVBY A SOUPISŮ PRACÍ</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</si>
  <si>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</si>
  <si>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0,01</t>
  </si>
  <si>
    <t>Měnit lze pouze buňky se žlutým podbarvením!_x000D_
_x000D_
1) v Rekapitulaci stavby vyplňte údaje o Uchazeči (přenesou se do ostatních sestav i v jiných listech)_x000D_
_x000D_
2) na vybraných listech vyplňte v sestavě Soupis prací ceny u položek</t>
  </si>
  <si>
    <t>00249-2</t>
  </si>
  <si>
    <t>0,001</t>
  </si>
  <si>
    <t>Návod na vyplnění</t>
  </si>
  <si>
    <t>REKAPITULACE STAVBY</t>
  </si>
  <si>
    <t>ZAMOK</t>
  </si>
  <si>
    <t>2.0</t>
  </si>
  <si>
    <t>VZ</t>
  </si>
  <si>
    <t>Export Komplet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</si>
</sst>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dd\.mm\.yyyy"/>
    <numFmt numFmtId="167" formatCode="#,##0.00%"/>
  </numFmts>
  <fonts count="61">
    <font>
      <sz val="11"/>
      <color theme="1"/>
      <name val="Calibri"/>
      <family val="2"/>
      <charset val="238"/>
      <scheme val="minor"/>
    </font>
    <font>
      <sz val="8"/>
      <name val="Arial CE"/>
      <family val="2"/>
    </font>
    <font>
      <sz val="9"/>
      <name val="Arial CE"/>
    </font>
    <font>
      <sz val="9"/>
      <color rgb="FF969696"/>
      <name val="Arial CE"/>
    </font>
    <font>
      <sz val="8"/>
      <color rgb="FF003366"/>
      <name val="Arial CE"/>
    </font>
    <font>
      <sz val="12"/>
      <color rgb="FF003366"/>
      <name val="Arial CE"/>
    </font>
    <font>
      <b/>
      <sz val="8"/>
      <name val="Arial CE"/>
    </font>
    <font>
      <sz val="8"/>
      <color rgb="FF960000"/>
      <name val="Arial CE"/>
    </font>
    <font>
      <b/>
      <sz val="12"/>
      <color rgb="FF960000"/>
      <name val="Arial CE"/>
    </font>
    <font>
      <sz val="10"/>
      <name val="Arial CE"/>
    </font>
    <font>
      <sz val="10"/>
      <color rgb="FF969696"/>
      <name val="Arial CE"/>
    </font>
    <font>
      <b/>
      <sz val="11"/>
      <name val="Arial CE"/>
    </font>
    <font>
      <b/>
      <sz val="14"/>
      <name val="Arial CE"/>
    </font>
    <font>
      <b/>
      <sz val="12"/>
      <color rgb="FF800000"/>
      <name val="Arial CE"/>
    </font>
    <font>
      <b/>
      <sz val="10"/>
      <color rgb="FF464646"/>
      <name val="Arial CE"/>
    </font>
    <font>
      <b/>
      <sz val="12"/>
      <name val="Arial CE"/>
    </font>
    <font>
      <sz val="8"/>
      <color rgb="FF969696"/>
      <name val="Arial CE"/>
    </font>
    <font>
      <b/>
      <sz val="10"/>
      <name val="Arial CE"/>
    </font>
    <font>
      <sz val="10"/>
      <color rgb="FF3366FF"/>
      <name val="Arial CE"/>
    </font>
    <font>
      <i/>
      <sz val="7"/>
      <color rgb="FF969696"/>
      <name val="Arial CE"/>
    </font>
    <font>
      <sz val="7"/>
      <color rgb="FF969696"/>
      <name val="Arial CE"/>
    </font>
    <font>
      <sz val="10"/>
      <color rgb="FF003366"/>
      <name val="Arial CE"/>
    </font>
    <font>
      <u/>
      <sz val="11"/>
      <color theme="10"/>
      <name val="Calibri"/>
      <scheme val="minor"/>
    </font>
    <font>
      <i/>
      <u/>
      <sz val="7"/>
      <color rgb="FF979797"/>
      <name val="Calibri"/>
      <scheme val="minor"/>
    </font>
    <font>
      <sz val="7"/>
      <color rgb="FF979797"/>
      <name val="Arial CE"/>
    </font>
    <font>
      <sz val="8"/>
      <color rgb="FF505050"/>
      <name val="Arial CE"/>
    </font>
    <font>
      <i/>
      <sz val="9"/>
      <color rgb="FF0000FF"/>
      <name val="Arial CE"/>
    </font>
    <font>
      <i/>
      <sz val="8"/>
      <color rgb="FF0000FF"/>
      <name val="Arial CE"/>
    </font>
    <font>
      <sz val="10"/>
      <name val="Arial"/>
    </font>
    <font>
      <sz val="10"/>
      <name val="Calibri"/>
      <family val="2"/>
      <charset val="1"/>
    </font>
    <font>
      <sz val="10"/>
      <color indexed="8"/>
      <name val="Calibri"/>
      <family val="2"/>
      <charset val="1"/>
    </font>
    <font>
      <i/>
      <sz val="8"/>
      <color indexed="8"/>
      <name val="Calibri"/>
      <family val="2"/>
      <charset val="1"/>
    </font>
    <font>
      <b/>
      <sz val="10"/>
      <color indexed="8"/>
      <name val="Calibri"/>
      <family val="2"/>
      <charset val="1"/>
    </font>
    <font>
      <i/>
      <sz val="10"/>
      <color indexed="12"/>
      <name val="Calibri"/>
      <family val="2"/>
      <charset val="1"/>
    </font>
    <font>
      <i/>
      <sz val="10"/>
      <color indexed="8"/>
      <name val="Calibri"/>
      <family val="2"/>
      <charset val="1"/>
    </font>
    <font>
      <i/>
      <sz val="10"/>
      <color indexed="16"/>
      <name val="Calibri"/>
      <family val="2"/>
      <charset val="1"/>
    </font>
    <font>
      <sz val="18"/>
      <color indexed="8"/>
      <name val="Calibri"/>
      <family val="2"/>
      <charset val="1"/>
    </font>
    <font>
      <b/>
      <sz val="12"/>
      <color indexed="8"/>
      <name val="Calibri"/>
      <family val="2"/>
      <charset val="1"/>
    </font>
    <font>
      <sz val="8"/>
      <name val="Arial"/>
      <family val="2"/>
      <charset val="238"/>
    </font>
    <font>
      <sz val="18"/>
      <name val="Calibri"/>
      <family val="2"/>
      <charset val="1"/>
    </font>
    <font>
      <b/>
      <sz val="10"/>
      <name val="Calibri"/>
      <family val="2"/>
      <charset val="1"/>
    </font>
    <font>
      <b/>
      <sz val="18"/>
      <name val="Calibri"/>
      <family val="2"/>
      <charset val="1"/>
    </font>
    <font>
      <sz val="11"/>
      <name val="Calibri"/>
      <family val="2"/>
      <charset val="1"/>
    </font>
    <font>
      <b/>
      <sz val="12"/>
      <name val="Calibri"/>
      <family val="2"/>
      <charset val="1"/>
    </font>
    <font>
      <sz val="12"/>
      <name val="Calibri"/>
      <family val="2"/>
      <charset val="1"/>
    </font>
    <font>
      <i/>
      <sz val="8"/>
      <name val="Calibri"/>
      <family val="2"/>
      <charset val="1"/>
    </font>
    <font>
      <sz val="10"/>
      <name val="Arial"/>
      <family val="2"/>
      <charset val="238"/>
    </font>
    <font>
      <sz val="11"/>
      <name val="Calibri"/>
      <family val="2"/>
      <charset val="238"/>
    </font>
    <font>
      <sz val="8"/>
      <color rgb="FF800080"/>
      <name val="Arial CE"/>
    </font>
    <font>
      <sz val="11"/>
      <name val="Arial CE"/>
    </font>
    <font>
      <sz val="11"/>
      <color rgb="FF969696"/>
      <name val="Arial CE"/>
    </font>
    <font>
      <sz val="11"/>
      <color rgb="FF003366"/>
      <name val="Arial CE"/>
    </font>
    <font>
      <b/>
      <sz val="11"/>
      <color rgb="FF003366"/>
      <name val="Arial CE"/>
    </font>
    <font>
      <sz val="18"/>
      <color theme="10"/>
      <name val="Wingdings 2"/>
    </font>
    <font>
      <sz val="12"/>
      <name val="Arial CE"/>
    </font>
    <font>
      <sz val="12"/>
      <color rgb="FF969696"/>
      <name val="Arial CE"/>
    </font>
    <font>
      <b/>
      <sz val="10"/>
      <color rgb="FF969696"/>
      <name val="Arial CE"/>
    </font>
    <font>
      <b/>
      <sz val="8"/>
      <color rgb="FF969696"/>
      <name val="Arial CE"/>
    </font>
    <font>
      <b/>
      <sz val="12"/>
      <color rgb="FF969696"/>
      <name val="Arial CE"/>
    </font>
    <font>
      <sz val="8"/>
      <color rgb="FF3366FF"/>
      <name val="Arial CE"/>
    </font>
    <font>
      <sz val="8"/>
      <color rgb="FFFFFFFF"/>
      <name val="Arial CE"/>
    </font>
  </fonts>
  <fills count="8">
    <fill>
      <patternFill patternType="none"/>
    </fill>
    <fill>
      <patternFill patternType="gray125"/>
    </fill>
    <fill>
      <patternFill patternType="solid">
        <fgColor rgb="FFFFFFCC"/>
      </patternFill>
    </fill>
    <fill>
      <patternFill patternType="solid">
        <fgColor rgb="FFD2D2D2"/>
      </patternFill>
    </fill>
    <fill>
      <patternFill patternType="solid">
        <fgColor indexed="22"/>
        <bgColor indexed="31"/>
      </patternFill>
    </fill>
    <fill>
      <patternFill patternType="solid">
        <fgColor indexed="15"/>
        <bgColor indexed="35"/>
      </patternFill>
    </fill>
    <fill>
      <patternFill patternType="solid">
        <fgColor rgb="FFFFFFCC"/>
        <bgColor indexed="64"/>
      </patternFill>
    </fill>
    <fill>
      <patternFill patternType="solid">
        <fgColor rgb="FFBEBEBE"/>
      </patternFill>
    </fill>
  </fills>
  <borders count="60">
    <border>
      <left/>
      <right/>
      <top/>
      <bottom/>
      <diagonal/>
    </border>
    <border>
      <left style="thin">
        <color rgb="FF000000"/>
      </left>
      <right/>
      <top/>
      <bottom/>
      <diagonal/>
    </border>
    <border>
      <left/>
      <right/>
      <top/>
      <bottom style="thin">
        <color rgb="FF000000"/>
      </bottom>
      <diagonal/>
    </border>
    <border>
      <left style="thin">
        <color rgb="FF000000"/>
      </left>
      <right/>
      <top/>
      <bottom style="thin">
        <color rgb="FF000000"/>
      </bottom>
      <diagonal/>
    </border>
    <border>
      <left/>
      <right style="hair">
        <color rgb="FF969696"/>
      </right>
      <top/>
      <bottom style="hair">
        <color rgb="FF969696"/>
      </bottom>
      <diagonal/>
    </border>
    <border>
      <left/>
      <right/>
      <top/>
      <bottom style="hair">
        <color rgb="FF969696"/>
      </bottom>
      <diagonal/>
    </border>
    <border>
      <left style="hair">
        <color rgb="FF969696"/>
      </left>
      <right/>
      <top/>
      <bottom style="hair">
        <color rgb="FF969696"/>
      </bottom>
      <diagonal/>
    </border>
    <border>
      <left style="hair">
        <color rgb="FF969696"/>
      </left>
      <right style="hair">
        <color rgb="FF969696"/>
      </right>
      <top style="hair">
        <color rgb="FF969696"/>
      </top>
      <bottom style="hair">
        <color rgb="FF969696"/>
      </bottom>
      <diagonal/>
    </border>
    <border>
      <left/>
      <right style="hair">
        <color rgb="FF969696"/>
      </right>
      <top/>
      <bottom/>
      <diagonal/>
    </border>
    <border>
      <left style="hair">
        <color rgb="FF969696"/>
      </left>
      <right/>
      <top/>
      <bottom/>
      <diagonal/>
    </border>
    <border>
      <left/>
      <right style="hair">
        <color rgb="FF969696"/>
      </right>
      <top style="hair">
        <color rgb="FF969696"/>
      </top>
      <bottom/>
      <diagonal/>
    </border>
    <border>
      <left/>
      <right/>
      <top style="hair">
        <color rgb="FF969696"/>
      </top>
      <bottom/>
      <diagonal/>
    </border>
    <border>
      <left style="hair">
        <color rgb="FF969696"/>
      </left>
      <right/>
      <top style="hair">
        <color rgb="FF969696"/>
      </top>
      <bottom/>
      <diagonal/>
    </border>
    <border>
      <left/>
      <right style="hair">
        <color rgb="FF969696"/>
      </right>
      <top style="hair">
        <color rgb="FF969696"/>
      </top>
      <bottom style="hair">
        <color rgb="FF969696"/>
      </bottom>
      <diagonal/>
    </border>
    <border>
      <left/>
      <right/>
      <top style="hair">
        <color rgb="FF969696"/>
      </top>
      <bottom style="hair">
        <color rgb="FF969696"/>
      </bottom>
      <diagonal/>
    </border>
    <border>
      <left style="hair">
        <color rgb="FF969696"/>
      </left>
      <right/>
      <top style="hair">
        <color rgb="FF969696"/>
      </top>
      <bottom style="hair">
        <color rgb="FF969696"/>
      </bottom>
      <diagonal/>
    </border>
    <border>
      <left/>
      <right/>
      <top style="thin">
        <color rgb="FF000000"/>
      </top>
      <bottom/>
      <diagonal/>
    </border>
    <border>
      <left style="thin">
        <color rgb="FF000000"/>
      </left>
      <right/>
      <top style="thin">
        <color rgb="FF000000"/>
      </top>
      <bottom/>
      <diagonal/>
    </border>
    <border>
      <left/>
      <right/>
      <top/>
      <bottom style="hair">
        <color rgb="FF000000"/>
      </bottom>
      <diagonal/>
    </border>
    <border>
      <left/>
      <right/>
      <top style="hair">
        <color rgb="FF000000"/>
      </top>
      <bottom/>
      <diagonal/>
    </border>
    <border>
      <left/>
      <right style="hair">
        <color rgb="FF000000"/>
      </right>
      <top style="hair">
        <color rgb="FF000000"/>
      </top>
      <bottom style="hair">
        <color rgb="FF000000"/>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right/>
      <top style="thin">
        <color indexed="8"/>
      </top>
      <bottom/>
      <diagonal/>
    </border>
    <border>
      <left style="thin">
        <color indexed="8"/>
      </left>
      <right/>
      <top/>
      <bottom/>
      <diagonal/>
    </border>
    <border>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diagonal/>
    </border>
    <border>
      <left/>
      <right style="thin">
        <color indexed="8"/>
      </right>
      <top style="medium">
        <color indexed="8"/>
      </top>
      <bottom/>
      <diagonal/>
    </border>
    <border>
      <left/>
      <right/>
      <top style="medium">
        <color indexed="8"/>
      </top>
      <bottom/>
      <diagonal/>
    </border>
    <border>
      <left style="thin">
        <color indexed="8"/>
      </left>
      <right/>
      <top style="medium">
        <color indexed="8"/>
      </top>
      <bottom/>
      <diagonal/>
    </border>
    <border>
      <left style="medium">
        <color indexed="8"/>
      </left>
      <right/>
      <top/>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thin">
        <color indexed="8"/>
      </right>
      <top/>
      <bottom style="medium">
        <color indexed="8"/>
      </bottom>
      <diagonal/>
    </border>
    <border>
      <left style="medium">
        <color indexed="8"/>
      </left>
      <right/>
      <top style="thin">
        <color indexed="8"/>
      </top>
      <bottom style="thin">
        <color indexed="8"/>
      </bottom>
      <diagonal/>
    </border>
    <border>
      <left style="medium">
        <color indexed="8"/>
      </left>
      <right style="medium">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style="medium">
        <color indexed="8"/>
      </top>
      <bottom/>
      <diagonal/>
    </border>
    <border>
      <left style="medium">
        <color indexed="8"/>
      </left>
      <right style="thin">
        <color indexed="8"/>
      </right>
      <top style="medium">
        <color indexed="8"/>
      </top>
      <bottom/>
      <diagonal/>
    </border>
    <border>
      <left/>
      <right style="thin">
        <color indexed="8"/>
      </right>
      <top/>
      <bottom style="medium">
        <color indexed="8"/>
      </bottom>
      <diagonal/>
    </border>
    <border>
      <left/>
      <right/>
      <top/>
      <bottom style="medium">
        <color indexed="8"/>
      </bottom>
      <diagonal/>
    </border>
    <border>
      <left style="thin">
        <color indexed="8"/>
      </left>
      <right/>
      <top/>
      <bottom style="medium">
        <color indexed="8"/>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right style="thin">
        <color indexed="64"/>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medium">
        <color indexed="8"/>
      </right>
      <top style="medium">
        <color indexed="8"/>
      </top>
      <bottom/>
      <diagonal/>
    </border>
    <border>
      <left style="medium">
        <color indexed="8"/>
      </left>
      <right style="medium">
        <color indexed="8"/>
      </right>
      <top/>
      <bottom/>
      <diagonal/>
    </border>
    <border>
      <left/>
      <right style="medium">
        <color indexed="8"/>
      </right>
      <top/>
      <bottom/>
      <diagonal/>
    </border>
    <border>
      <left/>
      <right style="medium">
        <color indexed="8"/>
      </right>
      <top/>
      <bottom style="medium">
        <color indexed="8"/>
      </bottom>
      <diagonal/>
    </border>
  </borders>
  <cellStyleXfs count="5">
    <xf numFmtId="0" fontId="0" fillId="0" borderId="0"/>
    <xf numFmtId="0" fontId="1" fillId="0" borderId="0"/>
    <xf numFmtId="0" fontId="22" fillId="0" borderId="0" applyNumberFormat="0" applyFill="0" applyBorder="0" applyAlignment="0" applyProtection="0"/>
    <xf numFmtId="0" fontId="28" fillId="0" borderId="0"/>
    <xf numFmtId="0" fontId="38" fillId="0" borderId="0"/>
  </cellStyleXfs>
  <cellXfs count="352">
    <xf numFmtId="0" fontId="0" fillId="0" borderId="0" xfId="0"/>
    <xf numFmtId="0" fontId="1" fillId="0" borderId="0" xfId="1"/>
    <xf numFmtId="0" fontId="1" fillId="0" borderId="0" xfId="1" applyAlignment="1">
      <alignment vertical="center"/>
    </xf>
    <xf numFmtId="0" fontId="1" fillId="0" borderId="1" xfId="1" applyBorder="1" applyAlignment="1">
      <alignment vertical="center"/>
    </xf>
    <xf numFmtId="0" fontId="1" fillId="0" borderId="2" xfId="1" applyBorder="1" applyAlignment="1">
      <alignment vertical="center"/>
    </xf>
    <xf numFmtId="0" fontId="1" fillId="0" borderId="3" xfId="1" applyBorder="1" applyAlignment="1">
      <alignment vertical="center"/>
    </xf>
    <xf numFmtId="0" fontId="2" fillId="0" borderId="0" xfId="1" applyFont="1" applyAlignment="1">
      <alignment horizontal="left" vertical="center"/>
    </xf>
    <xf numFmtId="0" fontId="1" fillId="0" borderId="0" xfId="1" applyAlignment="1">
      <alignment horizontal="left" vertical="center"/>
    </xf>
    <xf numFmtId="4" fontId="1" fillId="0" borderId="0" xfId="1" applyNumberFormat="1" applyAlignment="1">
      <alignment vertical="center"/>
    </xf>
    <xf numFmtId="164" fontId="3" fillId="0" borderId="4" xfId="1" applyNumberFormat="1" applyFont="1" applyBorder="1" applyAlignment="1">
      <alignment vertical="center"/>
    </xf>
    <xf numFmtId="164" fontId="3" fillId="0" borderId="5" xfId="1" applyNumberFormat="1" applyFont="1" applyBorder="1" applyAlignment="1">
      <alignment vertical="center"/>
    </xf>
    <xf numFmtId="0" fontId="1" fillId="0" borderId="5" xfId="1" applyBorder="1" applyAlignment="1">
      <alignment vertical="center"/>
    </xf>
    <xf numFmtId="0" fontId="3" fillId="0" borderId="5" xfId="1" applyFont="1" applyBorder="1" applyAlignment="1">
      <alignment horizontal="center" vertical="center"/>
    </xf>
    <xf numFmtId="0" fontId="3" fillId="2" borderId="6" xfId="1" applyFont="1" applyFill="1" applyBorder="1" applyAlignment="1" applyProtection="1">
      <alignment horizontal="left" vertical="center"/>
      <protection locked="0"/>
    </xf>
    <xf numFmtId="0" fontId="2" fillId="0" borderId="7" xfId="1" applyFont="1" applyBorder="1" applyAlignment="1">
      <alignment horizontal="left" vertical="center" wrapText="1"/>
    </xf>
    <xf numFmtId="4" fontId="2" fillId="0" borderId="7" xfId="1" applyNumberFormat="1" applyFont="1" applyBorder="1" applyAlignment="1">
      <alignment vertical="center"/>
    </xf>
    <xf numFmtId="4" fontId="2" fillId="2" borderId="7" xfId="1" applyNumberFormat="1" applyFont="1" applyFill="1" applyBorder="1" applyAlignment="1" applyProtection="1">
      <alignment vertical="center"/>
      <protection locked="0"/>
    </xf>
    <xf numFmtId="165" fontId="2" fillId="0" borderId="7" xfId="1" applyNumberFormat="1" applyFont="1" applyBorder="1" applyAlignment="1">
      <alignment vertical="center"/>
    </xf>
    <xf numFmtId="0" fontId="2" fillId="0" borderId="7" xfId="1" applyFont="1" applyBorder="1" applyAlignment="1">
      <alignment horizontal="center" vertical="center" wrapText="1"/>
    </xf>
    <xf numFmtId="49" fontId="2" fillId="0" borderId="7" xfId="1" applyNumberFormat="1" applyFont="1" applyBorder="1" applyAlignment="1">
      <alignment horizontal="left" vertical="center" wrapText="1"/>
    </xf>
    <xf numFmtId="0" fontId="2" fillId="0" borderId="7" xfId="1" applyFont="1" applyBorder="1" applyAlignment="1">
      <alignment horizontal="center" vertical="center"/>
    </xf>
    <xf numFmtId="164" fontId="3" fillId="0" borderId="8" xfId="1" applyNumberFormat="1" applyFont="1" applyBorder="1" applyAlignment="1">
      <alignment vertical="center"/>
    </xf>
    <xf numFmtId="164" fontId="3" fillId="0" borderId="0" xfId="1" applyNumberFormat="1" applyFont="1" applyAlignment="1">
      <alignment vertical="center"/>
    </xf>
    <xf numFmtId="0" fontId="3" fillId="0" borderId="0" xfId="1" applyFont="1" applyAlignment="1">
      <alignment horizontal="center" vertical="center"/>
    </xf>
    <xf numFmtId="0" fontId="3" fillId="2" borderId="9" xfId="1" applyFont="1" applyFill="1" applyBorder="1" applyAlignment="1" applyProtection="1">
      <alignment horizontal="left" vertical="center"/>
      <protection locked="0"/>
    </xf>
    <xf numFmtId="0" fontId="4" fillId="0" borderId="0" xfId="1" applyFont="1"/>
    <xf numFmtId="4" fontId="4" fillId="0" borderId="0" xfId="1" applyNumberFormat="1" applyFont="1" applyAlignment="1">
      <alignment vertical="center"/>
    </xf>
    <xf numFmtId="0" fontId="4" fillId="0" borderId="0" xfId="1" applyFont="1" applyAlignment="1">
      <alignment horizontal="left"/>
    </xf>
    <xf numFmtId="0" fontId="4" fillId="0" borderId="0" xfId="1" applyFont="1" applyAlignment="1">
      <alignment horizontal="center"/>
    </xf>
    <xf numFmtId="164" fontId="4" fillId="0" borderId="8" xfId="1" applyNumberFormat="1" applyFont="1" applyBorder="1"/>
    <xf numFmtId="164" fontId="4" fillId="0" borderId="0" xfId="1" applyNumberFormat="1" applyFont="1"/>
    <xf numFmtId="0" fontId="4" fillId="0" borderId="9" xfId="1" applyFont="1" applyBorder="1"/>
    <xf numFmtId="0" fontId="4" fillId="0" borderId="1" xfId="1" applyFont="1" applyBorder="1"/>
    <xf numFmtId="4" fontId="5" fillId="0" borderId="0" xfId="1" applyNumberFormat="1" applyFont="1"/>
    <xf numFmtId="0" fontId="4" fillId="0" borderId="0" xfId="1" applyFont="1" applyProtection="1">
      <protection locked="0"/>
    </xf>
    <xf numFmtId="0" fontId="5" fillId="0" borderId="0" xfId="1" applyFont="1" applyAlignment="1">
      <alignment horizontal="left"/>
    </xf>
    <xf numFmtId="4" fontId="6" fillId="0" borderId="0" xfId="1" applyNumberFormat="1" applyFont="1" applyAlignment="1">
      <alignment vertical="center"/>
    </xf>
    <xf numFmtId="164" fontId="7" fillId="0" borderId="10" xfId="1" applyNumberFormat="1" applyFont="1" applyBorder="1"/>
    <xf numFmtId="0" fontId="1" fillId="0" borderId="11" xfId="1" applyBorder="1" applyAlignment="1">
      <alignment vertical="center"/>
    </xf>
    <xf numFmtId="164" fontId="7" fillId="0" borderId="11" xfId="1" applyNumberFormat="1" applyFont="1" applyBorder="1"/>
    <xf numFmtId="0" fontId="1" fillId="0" borderId="12" xfId="1" applyBorder="1" applyAlignment="1">
      <alignment vertical="center"/>
    </xf>
    <xf numFmtId="4" fontId="8" fillId="0" borderId="0" xfId="1" applyNumberFormat="1" applyFont="1"/>
    <xf numFmtId="0" fontId="8" fillId="0" borderId="0" xfId="1" applyFont="1" applyAlignment="1">
      <alignment horizontal="left" vertical="center"/>
    </xf>
    <xf numFmtId="0" fontId="1" fillId="0" borderId="0" xfId="1" applyAlignment="1">
      <alignment horizontal="center" vertical="center" wrapText="1"/>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5" xfId="1" applyFont="1" applyBorder="1" applyAlignment="1">
      <alignment horizontal="center" vertical="center" wrapText="1"/>
    </xf>
    <xf numFmtId="0" fontId="1" fillId="0" borderId="1" xfId="1" applyBorder="1" applyAlignment="1">
      <alignment horizontal="center" vertical="center" wrapText="1"/>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9" fillId="0" borderId="0" xfId="1" applyFont="1" applyAlignment="1">
      <alignment horizontal="left" vertical="center" wrapText="1"/>
    </xf>
    <xf numFmtId="0" fontId="10" fillId="0" borderId="0" xfId="1" applyFont="1" applyAlignment="1">
      <alignment horizontal="left" vertical="center"/>
    </xf>
    <xf numFmtId="0" fontId="9" fillId="0" borderId="0" xfId="1" applyFont="1" applyAlignment="1">
      <alignment horizontal="left" vertical="center"/>
    </xf>
    <xf numFmtId="166" fontId="9" fillId="0" borderId="0" xfId="1" applyNumberFormat="1" applyFont="1" applyAlignment="1">
      <alignment horizontal="left" vertical="center"/>
    </xf>
    <xf numFmtId="0" fontId="12" fillId="0" borderId="0" xfId="1" applyFont="1" applyAlignment="1">
      <alignment horizontal="left" vertical="center"/>
    </xf>
    <xf numFmtId="0" fontId="1" fillId="0" borderId="16" xfId="1" applyBorder="1" applyAlignment="1">
      <alignment vertical="center"/>
    </xf>
    <xf numFmtId="0" fontId="1" fillId="0" borderId="17" xfId="1" applyBorder="1" applyAlignment="1">
      <alignment vertical="center"/>
    </xf>
    <xf numFmtId="0" fontId="5" fillId="0" borderId="0" xfId="1" applyFont="1" applyAlignment="1">
      <alignment vertical="center"/>
    </xf>
    <xf numFmtId="0" fontId="5" fillId="0" borderId="1" xfId="1" applyFont="1" applyBorder="1" applyAlignment="1">
      <alignment vertical="center"/>
    </xf>
    <xf numFmtId="4" fontId="5" fillId="0" borderId="5" xfId="1" applyNumberFormat="1" applyFont="1" applyBorder="1" applyAlignment="1">
      <alignment vertical="center"/>
    </xf>
    <xf numFmtId="0" fontId="5" fillId="0" borderId="5" xfId="1" applyFont="1" applyBorder="1" applyAlignment="1">
      <alignment vertical="center"/>
    </xf>
    <xf numFmtId="0" fontId="5" fillId="0" borderId="5" xfId="1" applyFont="1" applyBorder="1" applyAlignment="1">
      <alignment horizontal="left" vertical="center"/>
    </xf>
    <xf numFmtId="4" fontId="8" fillId="0" borderId="0" xfId="1" applyNumberFormat="1" applyFont="1" applyAlignment="1">
      <alignment vertical="center"/>
    </xf>
    <xf numFmtId="0" fontId="13" fillId="0" borderId="0" xfId="1" applyFont="1" applyAlignment="1">
      <alignment horizontal="left" vertical="center"/>
    </xf>
    <xf numFmtId="0" fontId="1" fillId="3" borderId="0" xfId="1" applyFill="1" applyAlignment="1">
      <alignment vertical="center"/>
    </xf>
    <xf numFmtId="0" fontId="2" fillId="3" borderId="0" xfId="1" applyFont="1" applyFill="1" applyAlignment="1">
      <alignment horizontal="right" vertical="center"/>
    </xf>
    <xf numFmtId="0" fontId="2" fillId="3" borderId="0" xfId="1" applyFont="1" applyFill="1" applyAlignment="1">
      <alignment horizontal="left" vertical="center"/>
    </xf>
    <xf numFmtId="0" fontId="1" fillId="0" borderId="18" xfId="1" applyBorder="1" applyAlignment="1">
      <alignment vertical="center"/>
    </xf>
    <xf numFmtId="0" fontId="10" fillId="0" borderId="18" xfId="1" applyFont="1" applyBorder="1" applyAlignment="1">
      <alignment horizontal="right" vertical="center"/>
    </xf>
    <xf numFmtId="0" fontId="10" fillId="0" borderId="18" xfId="1" applyFont="1" applyBorder="1" applyAlignment="1">
      <alignment horizontal="left" vertical="center"/>
    </xf>
    <xf numFmtId="0" fontId="10" fillId="0" borderId="18" xfId="1" applyFont="1" applyBorder="1" applyAlignment="1">
      <alignment horizontal="center" vertical="center"/>
    </xf>
    <xf numFmtId="0" fontId="1" fillId="0" borderId="1" xfId="1" applyBorder="1"/>
    <xf numFmtId="0" fontId="1" fillId="0" borderId="19" xfId="1" applyBorder="1" applyAlignment="1">
      <alignment vertical="center"/>
    </xf>
    <xf numFmtId="0" fontId="14" fillId="0" borderId="19" xfId="1" applyFont="1" applyBorder="1" applyAlignment="1">
      <alignment horizontal="left" vertical="center"/>
    </xf>
    <xf numFmtId="0" fontId="1" fillId="3" borderId="20" xfId="1" applyFill="1" applyBorder="1" applyAlignment="1">
      <alignment vertical="center"/>
    </xf>
    <xf numFmtId="4" fontId="15" fillId="3" borderId="21" xfId="1" applyNumberFormat="1" applyFont="1" applyFill="1" applyBorder="1" applyAlignment="1">
      <alignment vertical="center"/>
    </xf>
    <xf numFmtId="0" fontId="1" fillId="3" borderId="21" xfId="1" applyFill="1" applyBorder="1" applyAlignment="1">
      <alignment vertical="center"/>
    </xf>
    <xf numFmtId="0" fontId="15" fillId="3" borderId="21" xfId="1" applyFont="1" applyFill="1" applyBorder="1" applyAlignment="1">
      <alignment horizontal="center" vertical="center"/>
    </xf>
    <xf numFmtId="0" fontId="15" fillId="3" borderId="21" xfId="1" applyFont="1" applyFill="1" applyBorder="1" applyAlignment="1">
      <alignment horizontal="right" vertical="center"/>
    </xf>
    <xf numFmtId="0" fontId="15" fillId="3" borderId="22" xfId="1" applyFont="1" applyFill="1" applyBorder="1" applyAlignment="1">
      <alignment horizontal="left" vertical="center"/>
    </xf>
    <xf numFmtId="4" fontId="10" fillId="0" borderId="0" xfId="1" applyNumberFormat="1" applyFont="1" applyAlignment="1">
      <alignment vertical="center"/>
    </xf>
    <xf numFmtId="167" fontId="10" fillId="0" borderId="0" xfId="1" applyNumberFormat="1" applyFont="1" applyAlignment="1">
      <alignment horizontal="right" vertical="center"/>
    </xf>
    <xf numFmtId="0" fontId="16" fillId="0" borderId="0" xfId="1" applyFont="1" applyAlignment="1">
      <alignment horizontal="left" vertical="center"/>
    </xf>
    <xf numFmtId="0" fontId="10" fillId="0" borderId="0" xfId="1" applyFont="1" applyAlignment="1">
      <alignment horizontal="right" vertical="center"/>
    </xf>
    <xf numFmtId="0" fontId="17" fillId="0" borderId="0" xfId="1" applyFont="1" applyAlignment="1">
      <alignment horizontal="left" vertical="center"/>
    </xf>
    <xf numFmtId="0" fontId="1" fillId="0" borderId="0" xfId="1" applyAlignment="1">
      <alignment vertical="center" wrapText="1"/>
    </xf>
    <xf numFmtId="0" fontId="1" fillId="0" borderId="1" xfId="1" applyBorder="1" applyAlignment="1">
      <alignment vertical="center" wrapText="1"/>
    </xf>
    <xf numFmtId="0" fontId="9" fillId="2" borderId="0" xfId="1" applyFont="1" applyFill="1" applyAlignment="1" applyProtection="1">
      <alignment horizontal="left" vertical="center"/>
      <protection locked="0"/>
    </xf>
    <xf numFmtId="0" fontId="18" fillId="0" borderId="0" xfId="1" applyFont="1" applyAlignment="1">
      <alignment horizontal="left" vertical="center"/>
    </xf>
    <xf numFmtId="0" fontId="1" fillId="0" borderId="16" xfId="1" applyBorder="1"/>
    <xf numFmtId="0" fontId="1" fillId="0" borderId="17" xfId="1" applyBorder="1"/>
    <xf numFmtId="0" fontId="1" fillId="0" borderId="4" xfId="1" applyBorder="1" applyAlignment="1">
      <alignment vertical="center"/>
    </xf>
    <xf numFmtId="0" fontId="1" fillId="0" borderId="6" xfId="1" applyBorder="1" applyAlignment="1">
      <alignment vertical="center"/>
    </xf>
    <xf numFmtId="0" fontId="1" fillId="0" borderId="0" xfId="1" applyAlignment="1" applyProtection="1">
      <alignment vertical="center"/>
      <protection locked="0"/>
    </xf>
    <xf numFmtId="0" fontId="19" fillId="0" borderId="0" xfId="1" applyFont="1" applyAlignment="1">
      <alignment vertical="center" wrapText="1"/>
    </xf>
    <xf numFmtId="0" fontId="20" fillId="0" borderId="0" xfId="1" applyFont="1" applyAlignment="1">
      <alignment horizontal="left" vertical="center"/>
    </xf>
    <xf numFmtId="4" fontId="21" fillId="0" borderId="0" xfId="1" applyNumberFormat="1" applyFont="1"/>
    <xf numFmtId="0" fontId="21" fillId="0" borderId="0" xfId="1" applyFont="1" applyAlignment="1">
      <alignment horizontal="left"/>
    </xf>
    <xf numFmtId="0" fontId="1" fillId="0" borderId="8" xfId="1" applyBorder="1" applyAlignment="1">
      <alignment vertical="center"/>
    </xf>
    <xf numFmtId="0" fontId="1" fillId="0" borderId="9" xfId="1" applyBorder="1" applyAlignment="1">
      <alignment vertical="center"/>
    </xf>
    <xf numFmtId="0" fontId="21" fillId="0" borderId="0" xfId="1" applyFont="1" applyAlignment="1">
      <alignment vertical="center"/>
    </xf>
    <xf numFmtId="0" fontId="21" fillId="0" borderId="1" xfId="1" applyFont="1" applyBorder="1" applyAlignment="1">
      <alignment vertical="center"/>
    </xf>
    <xf numFmtId="4" fontId="21" fillId="0" borderId="5" xfId="1" applyNumberFormat="1" applyFont="1" applyBorder="1" applyAlignment="1">
      <alignment vertical="center"/>
    </xf>
    <xf numFmtId="0" fontId="21" fillId="0" borderId="5" xfId="1" applyFont="1" applyBorder="1" applyAlignment="1">
      <alignment vertical="center"/>
    </xf>
    <xf numFmtId="0" fontId="21" fillId="0" borderId="5" xfId="1" applyFont="1" applyBorder="1" applyAlignment="1">
      <alignment horizontal="left" vertical="center"/>
    </xf>
    <xf numFmtId="0" fontId="23" fillId="0" borderId="0" xfId="2" applyFont="1" applyAlignment="1" applyProtection="1">
      <alignment vertical="center" wrapText="1"/>
    </xf>
    <xf numFmtId="0" fontId="24" fillId="0" borderId="0" xfId="1" applyFont="1" applyAlignment="1">
      <alignment horizontal="left" vertical="center"/>
    </xf>
    <xf numFmtId="0" fontId="25" fillId="0" borderId="0" xfId="1" applyFont="1" applyAlignment="1">
      <alignment vertical="center"/>
    </xf>
    <xf numFmtId="0" fontId="25" fillId="0" borderId="0" xfId="1" applyFont="1" applyAlignment="1">
      <alignment horizontal="left" vertical="center"/>
    </xf>
    <xf numFmtId="0" fontId="25" fillId="0" borderId="8" xfId="1" applyFont="1" applyBorder="1" applyAlignment="1">
      <alignment vertical="center"/>
    </xf>
    <xf numFmtId="0" fontId="25" fillId="0" borderId="9" xfId="1" applyFont="1" applyBorder="1" applyAlignment="1">
      <alignment vertical="center"/>
    </xf>
    <xf numFmtId="0" fontId="25" fillId="0" borderId="1" xfId="1" applyFont="1" applyBorder="1" applyAlignment="1">
      <alignment vertical="center"/>
    </xf>
    <xf numFmtId="0" fontId="25" fillId="0" borderId="0" xfId="1" applyFont="1" applyAlignment="1" applyProtection="1">
      <alignment vertical="center"/>
      <protection locked="0"/>
    </xf>
    <xf numFmtId="165" fontId="25" fillId="0" borderId="0" xfId="1" applyNumberFormat="1" applyFont="1" applyAlignment="1">
      <alignment vertical="center"/>
    </xf>
    <xf numFmtId="0" fontId="25" fillId="0" borderId="0" xfId="1" applyFont="1" applyAlignment="1">
      <alignment horizontal="left" vertical="center" wrapText="1"/>
    </xf>
    <xf numFmtId="0" fontId="26" fillId="0" borderId="0" xfId="1" applyFont="1" applyAlignment="1">
      <alignment horizontal="center" vertical="center"/>
    </xf>
    <xf numFmtId="0" fontId="26" fillId="2" borderId="9" xfId="1" applyFont="1" applyFill="1" applyBorder="1" applyAlignment="1" applyProtection="1">
      <alignment horizontal="left" vertical="center"/>
      <protection locked="0"/>
    </xf>
    <xf numFmtId="0" fontId="27" fillId="0" borderId="1" xfId="1" applyFont="1" applyBorder="1" applyAlignment="1">
      <alignment vertical="center"/>
    </xf>
    <xf numFmtId="0" fontId="26" fillId="0" borderId="7" xfId="1" applyFont="1" applyBorder="1" applyAlignment="1">
      <alignment horizontal="left" vertical="center" wrapText="1"/>
    </xf>
    <xf numFmtId="4" fontId="26" fillId="0" borderId="7" xfId="1" applyNumberFormat="1" applyFont="1" applyBorder="1" applyAlignment="1">
      <alignment vertical="center"/>
    </xf>
    <xf numFmtId="4" fontId="26" fillId="2" borderId="7" xfId="1" applyNumberFormat="1" applyFont="1" applyFill="1" applyBorder="1" applyAlignment="1" applyProtection="1">
      <alignment vertical="center"/>
      <protection locked="0"/>
    </xf>
    <xf numFmtId="165" fontId="26" fillId="0" borderId="7" xfId="1" applyNumberFormat="1" applyFont="1" applyBorder="1" applyAlignment="1">
      <alignment vertical="center"/>
    </xf>
    <xf numFmtId="0" fontId="26" fillId="0" borderId="7" xfId="1" applyFont="1" applyBorder="1" applyAlignment="1">
      <alignment horizontal="center" vertical="center" wrapText="1"/>
    </xf>
    <xf numFmtId="49" fontId="26" fillId="0" borderId="7" xfId="1" applyNumberFormat="1" applyFont="1" applyBorder="1" applyAlignment="1">
      <alignment horizontal="left" vertical="center" wrapText="1"/>
    </xf>
    <xf numFmtId="0" fontId="26" fillId="0" borderId="7" xfId="1" applyFont="1" applyBorder="1" applyAlignment="1">
      <alignment horizontal="center" vertical="center"/>
    </xf>
    <xf numFmtId="0" fontId="29" fillId="0" borderId="0" xfId="3" applyFont="1"/>
    <xf numFmtId="49" fontId="31" fillId="0" borderId="0" xfId="3" applyNumberFormat="1" applyFont="1" applyAlignment="1">
      <alignment horizontal="left" vertical="center"/>
    </xf>
    <xf numFmtId="0" fontId="30" fillId="0" borderId="23" xfId="3" applyFont="1" applyBorder="1" applyAlignment="1">
      <alignment vertical="center"/>
    </xf>
    <xf numFmtId="4" fontId="32" fillId="0" borderId="23" xfId="3" applyNumberFormat="1" applyFont="1" applyBorder="1" applyAlignment="1">
      <alignment horizontal="right" vertical="center"/>
    </xf>
    <xf numFmtId="0" fontId="30" fillId="0" borderId="24" xfId="3" applyFont="1" applyBorder="1" applyAlignment="1">
      <alignment vertical="center"/>
    </xf>
    <xf numFmtId="0" fontId="30" fillId="0" borderId="25" xfId="3" applyFont="1" applyBorder="1" applyAlignment="1">
      <alignment vertical="center"/>
    </xf>
    <xf numFmtId="0" fontId="30" fillId="0" borderId="26" xfId="3" applyFont="1" applyBorder="1" applyAlignment="1">
      <alignment vertical="center"/>
    </xf>
    <xf numFmtId="4" fontId="33" fillId="0" borderId="26" xfId="3" applyNumberFormat="1" applyFont="1" applyBorder="1" applyAlignment="1">
      <alignment horizontal="right" vertical="center"/>
    </xf>
    <xf numFmtId="49" fontId="34" fillId="0" borderId="26" xfId="3" applyNumberFormat="1" applyFont="1" applyBorder="1" applyAlignment="1">
      <alignment horizontal="left" vertical="center"/>
    </xf>
    <xf numFmtId="49" fontId="33" fillId="0" borderId="26" xfId="3" applyNumberFormat="1" applyFont="1" applyBorder="1" applyAlignment="1">
      <alignment horizontal="left" vertical="center"/>
    </xf>
    <xf numFmtId="0" fontId="30" fillId="0" borderId="27" xfId="3" applyFont="1" applyBorder="1" applyAlignment="1">
      <alignment vertical="center"/>
    </xf>
    <xf numFmtId="4" fontId="30" fillId="0" borderId="0" xfId="3" applyNumberFormat="1" applyFont="1" applyAlignment="1">
      <alignment horizontal="right" vertical="center"/>
    </xf>
    <xf numFmtId="49" fontId="32" fillId="4" borderId="0" xfId="3" applyNumberFormat="1" applyFont="1" applyFill="1" applyAlignment="1">
      <alignment horizontal="right" vertical="center"/>
    </xf>
    <xf numFmtId="49" fontId="30" fillId="0" borderId="0" xfId="3" applyNumberFormat="1" applyFont="1" applyAlignment="1">
      <alignment horizontal="right" vertical="center"/>
    </xf>
    <xf numFmtId="49" fontId="30" fillId="0" borderId="28" xfId="3" applyNumberFormat="1" applyFont="1" applyBorder="1" applyAlignment="1">
      <alignment horizontal="right" vertical="center"/>
    </xf>
    <xf numFmtId="49" fontId="30" fillId="0" borderId="0" xfId="3" applyNumberFormat="1" applyFont="1" applyAlignment="1">
      <alignment horizontal="left" vertical="center"/>
    </xf>
    <xf numFmtId="49" fontId="30" fillId="0" borderId="24" xfId="3" applyNumberFormat="1" applyFont="1" applyBorder="1" applyAlignment="1">
      <alignment horizontal="left" vertical="center"/>
    </xf>
    <xf numFmtId="4" fontId="32" fillId="4" borderId="0" xfId="3" applyNumberFormat="1" applyFont="1" applyFill="1" applyAlignment="1">
      <alignment horizontal="right" vertical="center"/>
    </xf>
    <xf numFmtId="49" fontId="32" fillId="4" borderId="28" xfId="3" applyNumberFormat="1" applyFont="1" applyFill="1" applyBorder="1" applyAlignment="1">
      <alignment horizontal="right" vertical="center"/>
    </xf>
    <xf numFmtId="49" fontId="30" fillId="4" borderId="0" xfId="3" applyNumberFormat="1" applyFont="1" applyFill="1" applyAlignment="1">
      <alignment horizontal="left" vertical="center"/>
    </xf>
    <xf numFmtId="49" fontId="32" fillId="4" borderId="0" xfId="3" applyNumberFormat="1" applyFont="1" applyFill="1" applyAlignment="1">
      <alignment horizontal="left" vertical="center"/>
    </xf>
    <xf numFmtId="49" fontId="30" fillId="4" borderId="24" xfId="3" applyNumberFormat="1" applyFont="1" applyFill="1" applyBorder="1" applyAlignment="1">
      <alignment horizontal="left" vertical="center"/>
    </xf>
    <xf numFmtId="49" fontId="32" fillId="5" borderId="28" xfId="3" applyNumberFormat="1" applyFont="1" applyFill="1" applyBorder="1" applyAlignment="1">
      <alignment horizontal="right" vertical="center"/>
    </xf>
    <xf numFmtId="49" fontId="32" fillId="5" borderId="0" xfId="3" applyNumberFormat="1" applyFont="1" applyFill="1" applyAlignment="1">
      <alignment horizontal="right" vertical="center"/>
    </xf>
    <xf numFmtId="4" fontId="32" fillId="5" borderId="0" xfId="3" applyNumberFormat="1" applyFont="1" applyFill="1" applyAlignment="1">
      <alignment horizontal="right" vertical="center"/>
    </xf>
    <xf numFmtId="49" fontId="30" fillId="5" borderId="0" xfId="3" applyNumberFormat="1" applyFont="1" applyFill="1" applyAlignment="1">
      <alignment horizontal="left" vertical="center"/>
    </xf>
    <xf numFmtId="49" fontId="32" fillId="5" borderId="0" xfId="3" applyNumberFormat="1" applyFont="1" applyFill="1" applyAlignment="1">
      <alignment horizontal="left" vertical="center"/>
    </xf>
    <xf numFmtId="49" fontId="30" fillId="5" borderId="24" xfId="3" applyNumberFormat="1" applyFont="1" applyFill="1" applyBorder="1" applyAlignment="1">
      <alignment horizontal="left" vertical="center"/>
    </xf>
    <xf numFmtId="0" fontId="30" fillId="0" borderId="28" xfId="3" applyFont="1" applyBorder="1" applyAlignment="1">
      <alignment vertical="center"/>
    </xf>
    <xf numFmtId="4" fontId="33" fillId="0" borderId="0" xfId="3" applyNumberFormat="1" applyFont="1" applyAlignment="1">
      <alignment horizontal="right" vertical="center"/>
    </xf>
    <xf numFmtId="49" fontId="34" fillId="0" borderId="0" xfId="3" applyNumberFormat="1" applyFont="1" applyAlignment="1">
      <alignment horizontal="left" vertical="center"/>
    </xf>
    <xf numFmtId="49" fontId="33" fillId="0" borderId="0" xfId="3" applyNumberFormat="1" applyFont="1" applyAlignment="1">
      <alignment horizontal="left" vertical="center"/>
    </xf>
    <xf numFmtId="49" fontId="32" fillId="5" borderId="29" xfId="3" applyNumberFormat="1" applyFont="1" applyFill="1" applyBorder="1" applyAlignment="1">
      <alignment horizontal="right" vertical="center"/>
    </xf>
    <xf numFmtId="49" fontId="32" fillId="5" borderId="30" xfId="3" applyNumberFormat="1" applyFont="1" applyFill="1" applyBorder="1" applyAlignment="1">
      <alignment horizontal="right" vertical="center"/>
    </xf>
    <xf numFmtId="4" fontId="32" fillId="5" borderId="30" xfId="3" applyNumberFormat="1" applyFont="1" applyFill="1" applyBorder="1" applyAlignment="1">
      <alignment horizontal="right" vertical="center"/>
    </xf>
    <xf numFmtId="49" fontId="30" fillId="5" borderId="30" xfId="3" applyNumberFormat="1" applyFont="1" applyFill="1" applyBorder="1" applyAlignment="1">
      <alignment horizontal="left" vertical="center"/>
    </xf>
    <xf numFmtId="49" fontId="32" fillId="5" borderId="30" xfId="3" applyNumberFormat="1" applyFont="1" applyFill="1" applyBorder="1" applyAlignment="1">
      <alignment horizontal="left" vertical="center"/>
    </xf>
    <xf numFmtId="49" fontId="30" fillId="5" borderId="31" xfId="3" applyNumberFormat="1" applyFont="1" applyFill="1" applyBorder="1" applyAlignment="1">
      <alignment horizontal="left" vertical="center"/>
    </xf>
    <xf numFmtId="0" fontId="30" fillId="0" borderId="32" xfId="3" applyFont="1" applyBorder="1" applyAlignment="1">
      <alignment vertical="center"/>
    </xf>
    <xf numFmtId="49" fontId="32" fillId="0" borderId="33" xfId="3" applyNumberFormat="1" applyFont="1" applyBorder="1" applyAlignment="1">
      <alignment horizontal="center" vertical="center"/>
    </xf>
    <xf numFmtId="49" fontId="32" fillId="0" borderId="34" xfId="3" applyNumberFormat="1" applyFont="1" applyBorder="1" applyAlignment="1">
      <alignment horizontal="center" vertical="center"/>
    </xf>
    <xf numFmtId="49" fontId="32" fillId="0" borderId="35" xfId="3" applyNumberFormat="1" applyFont="1" applyBorder="1" applyAlignment="1">
      <alignment horizontal="center" vertical="center"/>
    </xf>
    <xf numFmtId="49" fontId="32" fillId="0" borderId="36" xfId="3" applyNumberFormat="1" applyFont="1" applyBorder="1" applyAlignment="1">
      <alignment horizontal="center" vertical="center"/>
    </xf>
    <xf numFmtId="49" fontId="30" fillId="0" borderId="36" xfId="3" applyNumberFormat="1" applyFont="1" applyBorder="1" applyAlignment="1">
      <alignment horizontal="left" vertical="center"/>
    </xf>
    <xf numFmtId="49" fontId="30" fillId="0" borderId="37" xfId="3" applyNumberFormat="1" applyFont="1" applyBorder="1" applyAlignment="1">
      <alignment horizontal="left" vertical="center"/>
    </xf>
    <xf numFmtId="49" fontId="30" fillId="0" borderId="38" xfId="3" applyNumberFormat="1" applyFont="1" applyBorder="1" applyAlignment="1">
      <alignment vertical="center"/>
    </xf>
    <xf numFmtId="49" fontId="32" fillId="0" borderId="39" xfId="3" applyNumberFormat="1" applyFont="1" applyBorder="1" applyAlignment="1">
      <alignment horizontal="center" vertical="center"/>
    </xf>
    <xf numFmtId="49" fontId="32" fillId="0" borderId="40" xfId="3" applyNumberFormat="1" applyFont="1" applyBorder="1" applyAlignment="1">
      <alignment horizontal="center" vertical="center"/>
    </xf>
    <xf numFmtId="49" fontId="32" fillId="0" borderId="41" xfId="3" applyNumberFormat="1" applyFont="1" applyBorder="1" applyAlignment="1">
      <alignment horizontal="center" vertical="center"/>
    </xf>
    <xf numFmtId="49" fontId="32" fillId="0" borderId="41" xfId="3" applyNumberFormat="1" applyFont="1" applyBorder="1" applyAlignment="1">
      <alignment horizontal="left" vertical="center"/>
    </xf>
    <xf numFmtId="0" fontId="32" fillId="0" borderId="29" xfId="3" applyFont="1" applyBorder="1" applyAlignment="1">
      <alignment horizontal="left" vertical="center"/>
    </xf>
    <xf numFmtId="0" fontId="32" fillId="0" borderId="30" xfId="3" applyFont="1" applyBorder="1" applyAlignment="1">
      <alignment horizontal="left" vertical="center"/>
    </xf>
    <xf numFmtId="49" fontId="32" fillId="0" borderId="31" xfId="3" applyNumberFormat="1" applyFont="1" applyBorder="1" applyAlignment="1">
      <alignment horizontal="left" vertical="center"/>
    </xf>
    <xf numFmtId="49" fontId="32" fillId="0" borderId="42" xfId="3" applyNumberFormat="1" applyFont="1" applyBorder="1" applyAlignment="1">
      <alignment horizontal="left" vertical="center"/>
    </xf>
    <xf numFmtId="4" fontId="30" fillId="0" borderId="24" xfId="3" applyNumberFormat="1" applyFont="1" applyBorder="1" applyAlignment="1">
      <alignment horizontal="right" vertical="center"/>
    </xf>
    <xf numFmtId="4" fontId="30" fillId="0" borderId="28" xfId="3" applyNumberFormat="1" applyFont="1" applyBorder="1" applyAlignment="1">
      <alignment horizontal="right" vertical="center"/>
    </xf>
    <xf numFmtId="4" fontId="30" fillId="0" borderId="29" xfId="3" applyNumberFormat="1" applyFont="1" applyBorder="1" applyAlignment="1">
      <alignment horizontal="right" vertical="center"/>
    </xf>
    <xf numFmtId="49" fontId="30" fillId="0" borderId="31" xfId="3" applyNumberFormat="1" applyFont="1" applyBorder="1" applyAlignment="1">
      <alignment horizontal="left" vertical="center"/>
    </xf>
    <xf numFmtId="49" fontId="32" fillId="0" borderId="37" xfId="3" applyNumberFormat="1" applyFont="1" applyBorder="1" applyAlignment="1">
      <alignment horizontal="left" vertical="center"/>
    </xf>
    <xf numFmtId="49" fontId="30" fillId="0" borderId="42" xfId="3" applyNumberFormat="1" applyFont="1" applyBorder="1" applyAlignment="1">
      <alignment horizontal="left" vertical="center"/>
    </xf>
    <xf numFmtId="0" fontId="30" fillId="0" borderId="30" xfId="3" applyFont="1" applyBorder="1" applyAlignment="1">
      <alignment vertical="center"/>
    </xf>
    <xf numFmtId="4" fontId="32" fillId="0" borderId="48" xfId="3" applyNumberFormat="1" applyFont="1" applyBorder="1" applyAlignment="1">
      <alignment horizontal="right" vertical="center"/>
    </xf>
    <xf numFmtId="49" fontId="32" fillId="0" borderId="48" xfId="3" applyNumberFormat="1" applyFont="1" applyBorder="1" applyAlignment="1">
      <alignment horizontal="right" vertical="center"/>
    </xf>
    <xf numFmtId="49" fontId="32" fillId="0" borderId="48" xfId="3" applyNumberFormat="1" applyFont="1" applyBorder="1" applyAlignment="1">
      <alignment horizontal="left" vertical="center"/>
    </xf>
    <xf numFmtId="4" fontId="30" fillId="0" borderId="49" xfId="3" applyNumberFormat="1" applyFont="1" applyBorder="1" applyAlignment="1">
      <alignment horizontal="right" vertical="center"/>
    </xf>
    <xf numFmtId="49" fontId="30" fillId="0" borderId="49" xfId="3" applyNumberFormat="1" applyFont="1" applyBorder="1" applyAlignment="1">
      <alignment horizontal="left" vertical="center"/>
    </xf>
    <xf numFmtId="4" fontId="30" fillId="0" borderId="50" xfId="3" applyNumberFormat="1" applyFont="1" applyBorder="1" applyAlignment="1">
      <alignment horizontal="right" vertical="center"/>
    </xf>
    <xf numFmtId="49" fontId="30" fillId="0" borderId="50" xfId="3" applyNumberFormat="1" applyFont="1" applyBorder="1" applyAlignment="1">
      <alignment horizontal="left" vertical="center"/>
    </xf>
    <xf numFmtId="49" fontId="32" fillId="0" borderId="51" xfId="3" applyNumberFormat="1" applyFont="1" applyBorder="1" applyAlignment="1">
      <alignment horizontal="right" vertical="center"/>
    </xf>
    <xf numFmtId="0" fontId="30" fillId="0" borderId="44" xfId="3" applyFont="1" applyBorder="1" applyAlignment="1">
      <alignment vertical="center"/>
    </xf>
    <xf numFmtId="4" fontId="30" fillId="0" borderId="52" xfId="3" applyNumberFormat="1" applyFont="1" applyBorder="1" applyAlignment="1">
      <alignment horizontal="right" vertical="center"/>
    </xf>
    <xf numFmtId="0" fontId="38" fillId="0" borderId="0" xfId="4"/>
    <xf numFmtId="0" fontId="42" fillId="0" borderId="0" xfId="4" applyFont="1"/>
    <xf numFmtId="4" fontId="43" fillId="4" borderId="54" xfId="4" applyNumberFormat="1" applyFont="1" applyFill="1" applyBorder="1" applyAlignment="1">
      <alignment horizontal="right" vertical="center"/>
    </xf>
    <xf numFmtId="4" fontId="43" fillId="4" borderId="25" xfId="4" applyNumberFormat="1" applyFont="1" applyFill="1" applyBorder="1" applyAlignment="1">
      <alignment horizontal="right" vertical="center"/>
    </xf>
    <xf numFmtId="0" fontId="45" fillId="0" borderId="0" xfId="4" applyFont="1" applyAlignment="1">
      <alignment horizontal="left" vertical="center"/>
    </xf>
    <xf numFmtId="0" fontId="47" fillId="0" borderId="0" xfId="4" applyFont="1"/>
    <xf numFmtId="4" fontId="30" fillId="6" borderId="0" xfId="3" applyNumberFormat="1" applyFont="1" applyFill="1" applyAlignment="1" applyProtection="1">
      <alignment horizontal="right" vertical="center"/>
      <protection locked="0"/>
    </xf>
    <xf numFmtId="4" fontId="30" fillId="6" borderId="50" xfId="3" applyNumberFormat="1" applyFont="1" applyFill="1" applyBorder="1" applyAlignment="1" applyProtection="1">
      <alignment horizontal="right" vertical="center"/>
      <protection locked="0"/>
    </xf>
    <xf numFmtId="4" fontId="30" fillId="6" borderId="49" xfId="3" applyNumberFormat="1" applyFont="1" applyFill="1" applyBorder="1" applyAlignment="1" applyProtection="1">
      <alignment horizontal="right" vertical="center"/>
      <protection locked="0"/>
    </xf>
    <xf numFmtId="0" fontId="39" fillId="0" borderId="0" xfId="4" applyFont="1" applyAlignment="1">
      <alignment horizontal="center" vertical="center" wrapText="1"/>
    </xf>
    <xf numFmtId="0" fontId="29" fillId="0" borderId="47" xfId="4" applyFont="1" applyBorder="1" applyAlignment="1">
      <alignment horizontal="left" vertical="center" wrapText="1"/>
    </xf>
    <xf numFmtId="0" fontId="40" fillId="0" borderId="23" xfId="4" applyFont="1" applyBorder="1" applyAlignment="1">
      <alignment horizontal="left" vertical="center" wrapText="1"/>
    </xf>
    <xf numFmtId="0" fontId="29" fillId="0" borderId="23" xfId="4" applyFont="1" applyBorder="1" applyAlignment="1">
      <alignment horizontal="left" vertical="center" wrapText="1"/>
    </xf>
    <xf numFmtId="0" fontId="29" fillId="0" borderId="46" xfId="4" applyFont="1" applyBorder="1" applyAlignment="1">
      <alignment horizontal="left" vertical="center"/>
    </xf>
    <xf numFmtId="0" fontId="29" fillId="0" borderId="28" xfId="4" applyFont="1" applyBorder="1" applyAlignment="1">
      <alignment horizontal="left" vertical="center"/>
    </xf>
    <xf numFmtId="0" fontId="29" fillId="0" borderId="24" xfId="4" applyFont="1" applyBorder="1" applyAlignment="1">
      <alignment horizontal="left" vertical="center" wrapText="1"/>
    </xf>
    <xf numFmtId="0" fontId="29" fillId="0" borderId="0" xfId="4" applyFont="1" applyAlignment="1">
      <alignment horizontal="left" vertical="center" wrapText="1"/>
    </xf>
    <xf numFmtId="0" fontId="29" fillId="0" borderId="25" xfId="4" applyFont="1" applyBorder="1" applyAlignment="1">
      <alignment horizontal="left" vertical="center" wrapText="1"/>
    </xf>
    <xf numFmtId="0" fontId="29" fillId="0" borderId="0" xfId="4" applyFont="1" applyAlignment="1">
      <alignment horizontal="left" vertical="center"/>
    </xf>
    <xf numFmtId="1" fontId="29" fillId="0" borderId="28" xfId="4" applyNumberFormat="1" applyFont="1" applyBorder="1" applyAlignment="1">
      <alignment horizontal="left" vertical="center"/>
    </xf>
    <xf numFmtId="0" fontId="43" fillId="4" borderId="27" xfId="4" applyFont="1" applyFill="1" applyBorder="1" applyAlignment="1">
      <alignment horizontal="left" vertical="center"/>
    </xf>
    <xf numFmtId="0" fontId="43" fillId="4" borderId="26" xfId="4" applyFont="1" applyFill="1" applyBorder="1" applyAlignment="1">
      <alignment horizontal="left" vertical="center"/>
    </xf>
    <xf numFmtId="0" fontId="29" fillId="0" borderId="27" xfId="4" applyFont="1" applyBorder="1" applyAlignment="1">
      <alignment horizontal="left" vertical="center" wrapText="1"/>
    </xf>
    <xf numFmtId="0" fontId="29" fillId="0" borderId="26" xfId="4" applyFont="1" applyBorder="1" applyAlignment="1">
      <alignment horizontal="left" vertical="center" wrapText="1"/>
    </xf>
    <xf numFmtId="0" fontId="29" fillId="0" borderId="26" xfId="4" applyFont="1" applyBorder="1" applyAlignment="1">
      <alignment horizontal="left" vertical="center"/>
    </xf>
    <xf numFmtId="0" fontId="41" fillId="0" borderId="0" xfId="4" applyFont="1" applyAlignment="1">
      <alignment horizontal="center" vertical="center"/>
    </xf>
    <xf numFmtId="0" fontId="43" fillId="4" borderId="53" xfId="4" applyFont="1" applyFill="1" applyBorder="1" applyAlignment="1">
      <alignment horizontal="left" vertical="center"/>
    </xf>
    <xf numFmtId="0" fontId="43" fillId="4" borderId="55" xfId="4" applyFont="1" applyFill="1" applyBorder="1" applyAlignment="1">
      <alignment horizontal="left" vertical="center"/>
    </xf>
    <xf numFmtId="0" fontId="44" fillId="0" borderId="39" xfId="4" applyFont="1" applyBorder="1" applyAlignment="1">
      <alignment horizontal="left" vertical="center"/>
    </xf>
    <xf numFmtId="0" fontId="44" fillId="0" borderId="56" xfId="4" applyFont="1" applyBorder="1" applyAlignment="1">
      <alignment horizontal="left" vertical="center"/>
    </xf>
    <xf numFmtId="0" fontId="44" fillId="0" borderId="57" xfId="4" applyFont="1" applyBorder="1" applyAlignment="1">
      <alignment horizontal="left" vertical="center"/>
    </xf>
    <xf numFmtId="0" fontId="44" fillId="0" borderId="58" xfId="4" applyFont="1" applyBorder="1" applyAlignment="1">
      <alignment horizontal="left" vertical="center"/>
    </xf>
    <xf numFmtId="0" fontId="44" fillId="0" borderId="33" xfId="4" applyFont="1" applyBorder="1" applyAlignment="1">
      <alignment horizontal="left" vertical="center"/>
    </xf>
    <xf numFmtId="0" fontId="44" fillId="0" borderId="59" xfId="4" applyFont="1" applyBorder="1" applyAlignment="1">
      <alignment horizontal="left" vertical="center"/>
    </xf>
    <xf numFmtId="0" fontId="46" fillId="0" borderId="0" xfId="4" applyFont="1" applyAlignment="1">
      <alignment horizontal="left" vertical="center" wrapText="1"/>
    </xf>
    <xf numFmtId="0" fontId="30" fillId="0" borderId="28" xfId="3" applyFont="1" applyBorder="1" applyAlignment="1">
      <alignment horizontal="left" vertical="center" wrapText="1"/>
    </xf>
    <xf numFmtId="0" fontId="30" fillId="0" borderId="0" xfId="3" applyFont="1" applyAlignment="1">
      <alignment horizontal="left" vertical="center" wrapText="1"/>
    </xf>
    <xf numFmtId="49" fontId="36" fillId="0" borderId="26" xfId="3" applyNumberFormat="1" applyFont="1" applyBorder="1" applyAlignment="1">
      <alignment horizontal="center"/>
    </xf>
    <xf numFmtId="0" fontId="30" fillId="0" borderId="47" xfId="3" applyFont="1" applyBorder="1" applyAlignment="1">
      <alignment horizontal="left" vertical="center" wrapText="1"/>
    </xf>
    <xf numFmtId="0" fontId="32" fillId="0" borderId="23" xfId="3" applyFont="1" applyBorder="1" applyAlignment="1">
      <alignment horizontal="left" vertical="center" wrapText="1"/>
    </xf>
    <xf numFmtId="0" fontId="30" fillId="0" borderId="23" xfId="3" applyFont="1" applyBorder="1" applyAlignment="1">
      <alignment horizontal="left" vertical="center" wrapText="1"/>
    </xf>
    <xf numFmtId="0" fontId="30" fillId="0" borderId="46" xfId="3" applyFont="1" applyBorder="1" applyAlignment="1">
      <alignment horizontal="left" vertical="center" wrapText="1"/>
    </xf>
    <xf numFmtId="0" fontId="30" fillId="0" borderId="24" xfId="3" applyFont="1" applyBorder="1" applyAlignment="1">
      <alignment horizontal="left" vertical="center" wrapText="1"/>
    </xf>
    <xf numFmtId="0" fontId="30" fillId="0" borderId="43" xfId="3" applyFont="1" applyBorder="1" applyAlignment="1">
      <alignment horizontal="left" vertical="center" wrapText="1"/>
    </xf>
    <xf numFmtId="0" fontId="30" fillId="0" borderId="44" xfId="3" applyFont="1" applyBorder="1" applyAlignment="1">
      <alignment horizontal="left" vertical="center" wrapText="1"/>
    </xf>
    <xf numFmtId="0" fontId="30" fillId="0" borderId="45" xfId="3" applyFont="1" applyBorder="1" applyAlignment="1">
      <alignment horizontal="left" vertical="center" wrapText="1"/>
    </xf>
    <xf numFmtId="49" fontId="30" fillId="0" borderId="0" xfId="3" applyNumberFormat="1" applyFont="1" applyAlignment="1">
      <alignment horizontal="left" vertical="center"/>
    </xf>
    <xf numFmtId="49" fontId="32" fillId="0" borderId="23" xfId="3" applyNumberFormat="1" applyFont="1" applyBorder="1" applyAlignment="1">
      <alignment horizontal="left" vertical="center"/>
    </xf>
    <xf numFmtId="49" fontId="30" fillId="0" borderId="40" xfId="3" applyNumberFormat="1" applyFont="1" applyBorder="1" applyAlignment="1">
      <alignment horizontal="left" vertical="center"/>
    </xf>
    <xf numFmtId="49" fontId="32" fillId="0" borderId="36" xfId="3" applyNumberFormat="1" applyFont="1" applyBorder="1" applyAlignment="1">
      <alignment horizontal="left" vertical="center"/>
    </xf>
    <xf numFmtId="49" fontId="30" fillId="0" borderId="30" xfId="3" applyNumberFormat="1" applyFont="1" applyBorder="1" applyAlignment="1">
      <alignment horizontal="left" vertical="center"/>
    </xf>
    <xf numFmtId="49" fontId="30" fillId="0" borderId="23" xfId="3" applyNumberFormat="1" applyFont="1" applyBorder="1" applyAlignment="1">
      <alignment horizontal="left" vertical="center"/>
    </xf>
    <xf numFmtId="49" fontId="30" fillId="0" borderId="44" xfId="3" applyNumberFormat="1" applyFont="1" applyBorder="1" applyAlignment="1">
      <alignment horizontal="left" vertical="center"/>
    </xf>
    <xf numFmtId="49" fontId="30" fillId="0" borderId="28" xfId="3" applyNumberFormat="1" applyFont="1" applyBorder="1" applyAlignment="1">
      <alignment horizontal="left" vertical="center"/>
    </xf>
    <xf numFmtId="0" fontId="35" fillId="0" borderId="28" xfId="3" applyFont="1" applyBorder="1" applyAlignment="1">
      <alignment horizontal="left" vertical="center" wrapText="1"/>
    </xf>
    <xf numFmtId="49" fontId="32" fillId="4" borderId="0" xfId="3" applyNumberFormat="1" applyFont="1" applyFill="1" applyAlignment="1">
      <alignment horizontal="left" vertical="center"/>
    </xf>
    <xf numFmtId="49" fontId="30" fillId="0" borderId="38" xfId="3" applyNumberFormat="1" applyFont="1" applyBorder="1" applyAlignment="1">
      <alignment vertical="center"/>
    </xf>
    <xf numFmtId="49" fontId="32" fillId="5" borderId="30" xfId="3" applyNumberFormat="1" applyFont="1" applyFill="1" applyBorder="1" applyAlignment="1">
      <alignment horizontal="left" vertical="center"/>
    </xf>
    <xf numFmtId="49" fontId="32" fillId="5" borderId="0" xfId="3" applyNumberFormat="1" applyFont="1" applyFill="1" applyAlignment="1">
      <alignment horizontal="left" vertical="center"/>
    </xf>
    <xf numFmtId="0" fontId="11" fillId="0" borderId="0" xfId="1" applyFont="1" applyAlignment="1">
      <alignment horizontal="left" vertical="center" wrapText="1"/>
    </xf>
    <xf numFmtId="0" fontId="1" fillId="0" borderId="0" xfId="1" applyAlignment="1">
      <alignmen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1" fillId="0" borderId="0" xfId="1"/>
    <xf numFmtId="0" fontId="9" fillId="2" borderId="0" xfId="1" applyFont="1" applyFill="1" applyAlignment="1" applyProtection="1">
      <alignment horizontal="left" vertical="center"/>
      <protection locked="0"/>
    </xf>
    <xf numFmtId="0" fontId="9" fillId="0" borderId="0" xfId="1" applyFont="1" applyAlignment="1">
      <alignment horizontal="left" vertical="center"/>
    </xf>
    <xf numFmtId="0" fontId="9" fillId="0" borderId="0" xfId="1" applyFont="1" applyAlignment="1">
      <alignment horizontal="left" vertical="center" wrapText="1"/>
    </xf>
    <xf numFmtId="49" fontId="37" fillId="0" borderId="44" xfId="3" applyNumberFormat="1" applyFont="1" applyBorder="1" applyAlignment="1">
      <alignment horizontal="left" vertical="center"/>
    </xf>
    <xf numFmtId="49" fontId="32" fillId="0" borderId="51" xfId="3" applyNumberFormat="1" applyFont="1" applyBorder="1" applyAlignment="1">
      <alignment horizontal="left" vertical="center"/>
    </xf>
    <xf numFmtId="49" fontId="30" fillId="0" borderId="49" xfId="3" applyNumberFormat="1" applyFont="1" applyBorder="1" applyAlignment="1">
      <alignment horizontal="left" vertical="center"/>
    </xf>
    <xf numFmtId="49" fontId="32" fillId="0" borderId="48" xfId="3" applyNumberFormat="1" applyFont="1" applyBorder="1" applyAlignment="1">
      <alignment horizontal="left" vertical="center"/>
    </xf>
    <xf numFmtId="49" fontId="30" fillId="0" borderId="50" xfId="3" applyNumberFormat="1" applyFont="1" applyBorder="1" applyAlignment="1">
      <alignment horizontal="left" vertical="center"/>
    </xf>
    <xf numFmtId="0" fontId="48" fillId="0" borderId="0" xfId="1" applyFont="1" applyAlignment="1">
      <alignment vertical="center"/>
    </xf>
    <xf numFmtId="0" fontId="48" fillId="0" borderId="0" xfId="1" applyFont="1" applyAlignment="1">
      <alignment horizontal="left" vertical="center"/>
    </xf>
    <xf numFmtId="0" fontId="48" fillId="0" borderId="8" xfId="1" applyFont="1" applyBorder="1" applyAlignment="1">
      <alignment vertical="center"/>
    </xf>
    <xf numFmtId="0" fontId="48" fillId="0" borderId="9" xfId="1" applyFont="1" applyBorder="1" applyAlignment="1">
      <alignment vertical="center"/>
    </xf>
    <xf numFmtId="0" fontId="48" fillId="0" borderId="1" xfId="1" applyFont="1" applyBorder="1" applyAlignment="1">
      <alignment vertical="center"/>
    </xf>
    <xf numFmtId="0" fontId="48" fillId="0" borderId="0" xfId="1" applyFont="1" applyAlignment="1" applyProtection="1">
      <alignment vertical="center"/>
      <protection locked="0"/>
    </xf>
    <xf numFmtId="0" fontId="48" fillId="0" borderId="0" xfId="1" applyFont="1" applyAlignment="1">
      <alignment horizontal="left" vertical="center" wrapText="1"/>
    </xf>
    <xf numFmtId="0" fontId="49" fillId="0" borderId="0" xfId="1" applyFont="1" applyAlignment="1">
      <alignment vertical="center"/>
    </xf>
    <xf numFmtId="0" fontId="49" fillId="0" borderId="0" xfId="1" applyFont="1" applyAlignment="1">
      <alignment horizontal="left" vertical="center"/>
    </xf>
    <xf numFmtId="4" fontId="50" fillId="0" borderId="4" xfId="1" applyNumberFormat="1" applyFont="1" applyBorder="1" applyAlignment="1">
      <alignment vertical="center"/>
    </xf>
    <xf numFmtId="4" fontId="50" fillId="0" borderId="5" xfId="1" applyNumberFormat="1" applyFont="1" applyBorder="1" applyAlignment="1">
      <alignment vertical="center"/>
    </xf>
    <xf numFmtId="164" fontId="50" fillId="0" borderId="5" xfId="1" applyNumberFormat="1" applyFont="1" applyBorder="1" applyAlignment="1">
      <alignment vertical="center"/>
    </xf>
    <xf numFmtId="4" fontId="50" fillId="0" borderId="6" xfId="1" applyNumberFormat="1" applyFont="1" applyBorder="1" applyAlignment="1">
      <alignment vertical="center"/>
    </xf>
    <xf numFmtId="0" fontId="49" fillId="0" borderId="1" xfId="1" applyFont="1" applyBorder="1" applyAlignment="1">
      <alignment vertical="center"/>
    </xf>
    <xf numFmtId="0" fontId="11" fillId="0" borderId="0" xfId="1" applyFont="1" applyAlignment="1">
      <alignment horizontal="center" vertical="center"/>
    </xf>
    <xf numFmtId="0" fontId="51" fillId="0" borderId="0" xfId="1" applyFont="1" applyAlignment="1">
      <alignment vertical="center"/>
    </xf>
    <xf numFmtId="4" fontId="51" fillId="0" borderId="0" xfId="1" applyNumberFormat="1" applyFont="1" applyAlignment="1">
      <alignment vertical="center"/>
    </xf>
    <xf numFmtId="0" fontId="52" fillId="0" borderId="0" xfId="1" applyFont="1" applyAlignment="1">
      <alignment horizontal="left" vertical="center" wrapText="1"/>
    </xf>
    <xf numFmtId="0" fontId="51" fillId="0" borderId="0" xfId="1" applyFont="1" applyAlignment="1">
      <alignment vertical="center"/>
    </xf>
    <xf numFmtId="0" fontId="52" fillId="0" borderId="0" xfId="1" applyFont="1" applyAlignment="1">
      <alignment vertical="center"/>
    </xf>
    <xf numFmtId="0" fontId="53" fillId="0" borderId="0" xfId="2" applyFont="1" applyAlignment="1">
      <alignment horizontal="center" vertical="center"/>
    </xf>
    <xf numFmtId="0" fontId="15" fillId="0" borderId="0" xfId="1" applyFont="1" applyAlignment="1">
      <alignment vertical="center"/>
    </xf>
    <xf numFmtId="0" fontId="15" fillId="0" borderId="0" xfId="1" applyFont="1" applyAlignment="1">
      <alignment horizontal="left" vertical="center"/>
    </xf>
    <xf numFmtId="0" fontId="54" fillId="0" borderId="0" xfId="1" applyFont="1" applyAlignment="1">
      <alignment horizontal="left" vertical="center"/>
    </xf>
    <xf numFmtId="4" fontId="55" fillId="0" borderId="8" xfId="1" applyNumberFormat="1" applyFont="1" applyBorder="1" applyAlignment="1">
      <alignment vertical="center"/>
    </xf>
    <xf numFmtId="4" fontId="55" fillId="0" borderId="0" xfId="1" applyNumberFormat="1" applyFont="1" applyAlignment="1">
      <alignment vertical="center"/>
    </xf>
    <xf numFmtId="164" fontId="55" fillId="0" borderId="0" xfId="1" applyNumberFormat="1" applyFont="1" applyAlignment="1">
      <alignment vertical="center"/>
    </xf>
    <xf numFmtId="4" fontId="55" fillId="0" borderId="9" xfId="1" applyNumberFormat="1" applyFont="1" applyBorder="1" applyAlignment="1">
      <alignment vertical="center"/>
    </xf>
    <xf numFmtId="0" fontId="15" fillId="0" borderId="1" xfId="1" applyFont="1" applyBorder="1" applyAlignment="1">
      <alignment vertical="center"/>
    </xf>
    <xf numFmtId="0" fontId="15" fillId="0" borderId="0" xfId="1" applyFont="1" applyAlignment="1">
      <alignment horizontal="center" vertical="center"/>
    </xf>
    <xf numFmtId="4" fontId="8" fillId="0" borderId="0" xfId="1" applyNumberFormat="1" applyFont="1" applyAlignment="1">
      <alignment vertical="center"/>
    </xf>
    <xf numFmtId="4" fontId="8" fillId="0" borderId="0" xfId="1" applyNumberFormat="1" applyFont="1" applyAlignment="1">
      <alignment horizontal="right" vertical="center"/>
    </xf>
    <xf numFmtId="0" fontId="8" fillId="0" borderId="0" xfId="1" applyFont="1" applyAlignment="1">
      <alignment vertical="center"/>
    </xf>
    <xf numFmtId="0" fontId="1" fillId="0" borderId="10" xfId="1" applyBorder="1" applyAlignment="1">
      <alignment vertical="center"/>
    </xf>
    <xf numFmtId="0" fontId="2" fillId="3" borderId="20" xfId="1" applyFont="1" applyFill="1" applyBorder="1" applyAlignment="1">
      <alignment horizontal="center" vertical="center"/>
    </xf>
    <xf numFmtId="0" fontId="2" fillId="3" borderId="21" xfId="1" applyFont="1" applyFill="1" applyBorder="1" applyAlignment="1">
      <alignment horizontal="left" vertical="center"/>
    </xf>
    <xf numFmtId="0" fontId="2" fillId="3" borderId="21" xfId="1" applyFont="1" applyFill="1" applyBorder="1" applyAlignment="1">
      <alignment horizontal="center" vertical="center"/>
    </xf>
    <xf numFmtId="0" fontId="2" fillId="3" borderId="21" xfId="1" applyFont="1" applyFill="1" applyBorder="1" applyAlignment="1">
      <alignment horizontal="right" vertical="center"/>
    </xf>
    <xf numFmtId="0" fontId="2" fillId="3" borderId="22" xfId="1" applyFont="1" applyFill="1" applyBorder="1" applyAlignment="1">
      <alignment horizontal="center" vertical="center"/>
    </xf>
    <xf numFmtId="0" fontId="16" fillId="0" borderId="0" xfId="1" applyFont="1" applyAlignment="1">
      <alignment horizontal="left" vertical="center"/>
    </xf>
    <xf numFmtId="0" fontId="16" fillId="0" borderId="9" xfId="1" applyFont="1" applyBorder="1" applyAlignment="1">
      <alignment horizontal="left" vertical="center"/>
    </xf>
    <xf numFmtId="0" fontId="9" fillId="0" borderId="0" xfId="1" applyFont="1" applyAlignment="1">
      <alignment vertical="center"/>
    </xf>
    <xf numFmtId="0" fontId="9" fillId="0" borderId="0" xfId="1" applyFont="1" applyAlignment="1">
      <alignment vertical="center" wrapText="1"/>
    </xf>
    <xf numFmtId="0" fontId="9" fillId="0" borderId="0" xfId="1" applyFont="1" applyAlignment="1">
      <alignment vertical="center"/>
    </xf>
    <xf numFmtId="0" fontId="55" fillId="0" borderId="11" xfId="1" applyFont="1" applyBorder="1" applyAlignment="1">
      <alignment horizontal="left" vertical="center"/>
    </xf>
    <xf numFmtId="0" fontId="55" fillId="0" borderId="12" xfId="1" applyFont="1" applyBorder="1" applyAlignment="1">
      <alignment horizontal="center" vertical="center"/>
    </xf>
    <xf numFmtId="166" fontId="9" fillId="0" borderId="0" xfId="1" applyNumberFormat="1" applyFont="1" applyAlignment="1">
      <alignment horizontal="left" vertical="center"/>
    </xf>
    <xf numFmtId="0" fontId="17" fillId="0" borderId="0" xfId="1" applyFont="1" applyAlignment="1">
      <alignment vertical="center"/>
    </xf>
    <xf numFmtId="0" fontId="11" fillId="0" borderId="0" xfId="1" applyFont="1" applyAlignment="1">
      <alignment vertical="center"/>
    </xf>
    <xf numFmtId="0" fontId="11" fillId="0" borderId="1" xfId="1" applyFont="1" applyBorder="1" applyAlignment="1">
      <alignment vertical="center"/>
    </xf>
    <xf numFmtId="0" fontId="11" fillId="0" borderId="0" xfId="1" applyFont="1" applyAlignment="1">
      <alignment vertical="center"/>
    </xf>
    <xf numFmtId="0" fontId="11" fillId="0" borderId="0" xfId="1" applyFont="1" applyAlignment="1">
      <alignment horizontal="left" vertical="center"/>
    </xf>
    <xf numFmtId="0" fontId="9" fillId="0" borderId="1" xfId="1" applyFont="1" applyBorder="1" applyAlignment="1">
      <alignment vertical="center"/>
    </xf>
    <xf numFmtId="0" fontId="1" fillId="7" borderId="0" xfId="1" applyFill="1" applyAlignment="1">
      <alignment vertical="center"/>
    </xf>
    <xf numFmtId="0" fontId="1" fillId="7" borderId="20" xfId="1" applyFill="1" applyBorder="1" applyAlignment="1">
      <alignment vertical="center"/>
    </xf>
    <xf numFmtId="0" fontId="1" fillId="7" borderId="21" xfId="1" applyFill="1" applyBorder="1" applyAlignment="1">
      <alignment vertical="center"/>
    </xf>
    <xf numFmtId="4" fontId="15" fillId="7" borderId="21" xfId="1" applyNumberFormat="1" applyFont="1" applyFill="1" applyBorder="1" applyAlignment="1">
      <alignment vertical="center"/>
    </xf>
    <xf numFmtId="0" fontId="1" fillId="7" borderId="21" xfId="1" applyFill="1" applyBorder="1" applyAlignment="1">
      <alignment vertical="center"/>
    </xf>
    <xf numFmtId="0" fontId="15" fillId="7" borderId="21" xfId="1" applyFont="1" applyFill="1" applyBorder="1" applyAlignment="1">
      <alignment horizontal="left" vertical="center"/>
    </xf>
    <xf numFmtId="0" fontId="15" fillId="7" borderId="21" xfId="1" applyFont="1" applyFill="1" applyBorder="1" applyAlignment="1">
      <alignment horizontal="center" vertical="center"/>
    </xf>
    <xf numFmtId="0" fontId="15" fillId="7" borderId="22" xfId="1" applyFont="1" applyFill="1" applyBorder="1" applyAlignment="1">
      <alignment horizontal="left" vertical="center"/>
    </xf>
    <xf numFmtId="0" fontId="10" fillId="0" borderId="0" xfId="1" applyFont="1" applyAlignment="1">
      <alignment vertical="center"/>
    </xf>
    <xf numFmtId="0" fontId="10" fillId="0" borderId="1" xfId="1" applyFont="1" applyBorder="1" applyAlignment="1">
      <alignment vertical="center"/>
    </xf>
    <xf numFmtId="0" fontId="10" fillId="0" borderId="0" xfId="1" applyFont="1" applyAlignment="1">
      <alignment vertical="center"/>
    </xf>
    <xf numFmtId="4" fontId="56" fillId="0" borderId="0" xfId="1" applyNumberFormat="1" applyFont="1" applyAlignment="1">
      <alignment vertical="center"/>
    </xf>
    <xf numFmtId="167" fontId="10" fillId="0" borderId="0" xfId="1" applyNumberFormat="1" applyFont="1" applyAlignment="1">
      <alignment horizontal="left" vertical="center"/>
    </xf>
    <xf numFmtId="0" fontId="56" fillId="0" borderId="0" xfId="1" applyFont="1" applyAlignment="1">
      <alignment horizontal="left" vertical="center"/>
    </xf>
    <xf numFmtId="0" fontId="57" fillId="0" borderId="0" xfId="1" applyFont="1" applyAlignment="1">
      <alignment horizontal="left" vertical="center"/>
    </xf>
    <xf numFmtId="0" fontId="10" fillId="0" borderId="0" xfId="1" applyFont="1" applyAlignment="1">
      <alignment horizontal="right" vertical="center"/>
    </xf>
    <xf numFmtId="0" fontId="1" fillId="0" borderId="18" xfId="1" applyBorder="1" applyAlignment="1">
      <alignment vertical="center"/>
    </xf>
    <xf numFmtId="4" fontId="17" fillId="0" borderId="18" xfId="1" applyNumberFormat="1" applyFont="1" applyBorder="1" applyAlignment="1">
      <alignment vertical="center"/>
    </xf>
    <xf numFmtId="0" fontId="17" fillId="0" borderId="18" xfId="1" applyFont="1" applyBorder="1" applyAlignment="1">
      <alignment horizontal="left" vertical="center"/>
    </xf>
    <xf numFmtId="0" fontId="1" fillId="0" borderId="19" xfId="1" applyBorder="1"/>
    <xf numFmtId="49" fontId="9" fillId="2" borderId="0" xfId="1" applyNumberFormat="1" applyFont="1" applyFill="1" applyAlignment="1" applyProtection="1">
      <alignment horizontal="left" vertical="center"/>
      <protection locked="0"/>
    </xf>
    <xf numFmtId="49" fontId="9" fillId="0" borderId="0" xfId="1" applyNumberFormat="1" applyFont="1" applyAlignment="1">
      <alignment horizontal="left" vertical="center"/>
    </xf>
    <xf numFmtId="49" fontId="9" fillId="2" borderId="0" xfId="1" applyNumberFormat="1" applyFont="1" applyFill="1" applyAlignment="1" applyProtection="1">
      <alignment horizontal="left" vertical="center"/>
      <protection locked="0"/>
    </xf>
    <xf numFmtId="0" fontId="11" fillId="0" borderId="0" xfId="1" applyFont="1" applyAlignment="1">
      <alignment horizontal="left" vertical="top" wrapText="1"/>
    </xf>
    <xf numFmtId="0" fontId="11" fillId="0" borderId="0" xfId="1" applyFont="1" applyAlignment="1">
      <alignment horizontal="left" vertical="top"/>
    </xf>
    <xf numFmtId="0" fontId="57" fillId="0" borderId="0" xfId="1" applyFont="1" applyAlignment="1">
      <alignment horizontal="left" vertical="top" wrapText="1"/>
    </xf>
    <xf numFmtId="0" fontId="10" fillId="0" borderId="0" xfId="1" applyFont="1" applyAlignment="1">
      <alignment horizontal="left" vertical="top"/>
    </xf>
    <xf numFmtId="0" fontId="58" fillId="0" borderId="0" xfId="1" applyFont="1" applyAlignment="1">
      <alignment horizontal="left" vertical="center"/>
    </xf>
    <xf numFmtId="0" fontId="59" fillId="0" borderId="0" xfId="1" applyFont="1" applyAlignment="1">
      <alignment horizontal="left" vertical="center"/>
    </xf>
    <xf numFmtId="0" fontId="60" fillId="0" borderId="0" xfId="1" applyFont="1" applyAlignment="1">
      <alignment horizontal="left" vertical="center"/>
    </xf>
  </cellXfs>
  <cellStyles count="5">
    <cellStyle name="Hypertextový odkaz" xfId="2" builtinId="8"/>
    <cellStyle name="Normální" xfId="0" builtinId="0"/>
    <cellStyle name="Normální 2" xfId="1" xr:uid="{49B5018D-96A5-4C55-8060-C3BF032DAA28}"/>
    <cellStyle name="Normální 2 2" xfId="4" xr:uid="{E1CA9532-4B9E-42F7-9E66-1B12225ECEB4}"/>
    <cellStyle name="Normální 3" xfId="3" xr:uid="{997DF240-F651-4B82-A62F-0660FB3E173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E379E06-F288-4B95-BC64-5216C94DD54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AD3FB82-E4B1-49CF-8F53-A3FBEA98DE4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EB2E9DF-2A82-4A81-880B-939391CB6C2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A84FCB03-4B8C-4BA1-BCDD-56C34138F0D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A440C16-061E-46DB-8F44-BBB610195E66}"/>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2_02/713300843" TargetMode="External"/><Relationship Id="rId18" Type="http://schemas.openxmlformats.org/officeDocument/2006/relationships/hyperlink" Target="https://podminky.urs.cz/item/CS_URS_2022_02/732429212" TargetMode="External"/><Relationship Id="rId26" Type="http://schemas.openxmlformats.org/officeDocument/2006/relationships/hyperlink" Target="https://podminky.urs.cz/item/CS_URS_2022_02/733111105" TargetMode="External"/><Relationship Id="rId39" Type="http://schemas.openxmlformats.org/officeDocument/2006/relationships/hyperlink" Target="https://podminky.urs.cz/item/CS_URS_2022_02/998733193" TargetMode="External"/><Relationship Id="rId21" Type="http://schemas.openxmlformats.org/officeDocument/2006/relationships/hyperlink" Target="https://podminky.urs.cz/item/CS_URS_2022_02/732420811" TargetMode="External"/><Relationship Id="rId34" Type="http://schemas.openxmlformats.org/officeDocument/2006/relationships/hyperlink" Target="https://podminky.urs.cz/item/CS_URS_2022_02/733190225" TargetMode="External"/><Relationship Id="rId42" Type="http://schemas.openxmlformats.org/officeDocument/2006/relationships/hyperlink" Target="https://podminky.urs.cz/item/CS_URS_2022_02/733120826" TargetMode="External"/><Relationship Id="rId47" Type="http://schemas.openxmlformats.org/officeDocument/2006/relationships/hyperlink" Target="https://podminky.urs.cz/item/CS_URS_2022_02/734209113" TargetMode="External"/><Relationship Id="rId50" Type="http://schemas.openxmlformats.org/officeDocument/2006/relationships/hyperlink" Target="https://podminky.urs.cz/item/CS_URS_2022_02/734209114" TargetMode="External"/><Relationship Id="rId55" Type="http://schemas.openxmlformats.org/officeDocument/2006/relationships/hyperlink" Target="https://podminky.urs.cz/item/CS_URS_2022_02/734209116" TargetMode="External"/><Relationship Id="rId63" Type="http://schemas.openxmlformats.org/officeDocument/2006/relationships/hyperlink" Target="https://podminky.urs.cz/item/CS_URS_2022_02/734209118" TargetMode="External"/><Relationship Id="rId68" Type="http://schemas.openxmlformats.org/officeDocument/2006/relationships/hyperlink" Target="https://podminky.urs.cz/item/CS_URS_2022_02/734421111" TargetMode="External"/><Relationship Id="rId76" Type="http://schemas.openxmlformats.org/officeDocument/2006/relationships/hyperlink" Target="https://podminky.urs.cz/item/CS_URS_2022_02/734420811" TargetMode="External"/><Relationship Id="rId84" Type="http://schemas.openxmlformats.org/officeDocument/2006/relationships/hyperlink" Target="https://podminky.urs.cz/item/CS_URS_2022_02/783315101" TargetMode="External"/><Relationship Id="rId89" Type="http://schemas.openxmlformats.org/officeDocument/2006/relationships/hyperlink" Target="https://podminky.urs.cz/item/CS_URS_2022_02/783614561" TargetMode="External"/><Relationship Id="rId7" Type="http://schemas.openxmlformats.org/officeDocument/2006/relationships/hyperlink" Target="https://podminky.urs.cz/item/CS_URS_2022_02/997013509" TargetMode="External"/><Relationship Id="rId71" Type="http://schemas.openxmlformats.org/officeDocument/2006/relationships/hyperlink" Target="https://podminky.urs.cz/item/CS_URS_2022_02/998734102" TargetMode="External"/><Relationship Id="rId92" Type="http://schemas.openxmlformats.org/officeDocument/2006/relationships/hyperlink" Target="https://podminky.urs.cz/item/CS_URS_2022_02/783617601" TargetMode="External"/><Relationship Id="rId2" Type="http://schemas.openxmlformats.org/officeDocument/2006/relationships/hyperlink" Target="https://podminky.urs.cz/item/CS_URS_2022_02/977151116" TargetMode="External"/><Relationship Id="rId16" Type="http://schemas.openxmlformats.org/officeDocument/2006/relationships/hyperlink" Target="https://podminky.urs.cz/item/CS_URS_2022_02/732199100" TargetMode="External"/><Relationship Id="rId29" Type="http://schemas.openxmlformats.org/officeDocument/2006/relationships/hyperlink" Target="https://podminky.urs.cz/item/CS_URS_2022_02/733113113" TargetMode="External"/><Relationship Id="rId11" Type="http://schemas.openxmlformats.org/officeDocument/2006/relationships/hyperlink" Target="https://podminky.urs.cz/item/CS_URS_2022_02/998713102" TargetMode="External"/><Relationship Id="rId24" Type="http://schemas.openxmlformats.org/officeDocument/2006/relationships/hyperlink" Target="https://podminky.urs.cz/item/CS_URS_2022_02/733111103" TargetMode="External"/><Relationship Id="rId32" Type="http://schemas.openxmlformats.org/officeDocument/2006/relationships/hyperlink" Target="https://podminky.urs.cz/item/CS_URS_2022_02/733190107" TargetMode="External"/><Relationship Id="rId37" Type="http://schemas.openxmlformats.org/officeDocument/2006/relationships/hyperlink" Target="https://podminky.urs.cz/item/CS_URS_2022_02/733191925" TargetMode="External"/><Relationship Id="rId40" Type="http://schemas.openxmlformats.org/officeDocument/2006/relationships/hyperlink" Target="https://podminky.urs.cz/item/CS_URS_2022_02/733110803" TargetMode="External"/><Relationship Id="rId45" Type="http://schemas.openxmlformats.org/officeDocument/2006/relationships/hyperlink" Target="https://podminky.urs.cz/item/CS_URS_2022_02/734209103" TargetMode="External"/><Relationship Id="rId53" Type="http://schemas.openxmlformats.org/officeDocument/2006/relationships/hyperlink" Target="https://podminky.urs.cz/item/CS_URS_2022_02/734209125" TargetMode="External"/><Relationship Id="rId58" Type="http://schemas.openxmlformats.org/officeDocument/2006/relationships/hyperlink" Target="https://podminky.urs.cz/item/CS_URS_2022_02/734209117" TargetMode="External"/><Relationship Id="rId66" Type="http://schemas.openxmlformats.org/officeDocument/2006/relationships/hyperlink" Target="https://podminky.urs.cz/item/CS_URS_2022_02/734291123" TargetMode="External"/><Relationship Id="rId74" Type="http://schemas.openxmlformats.org/officeDocument/2006/relationships/hyperlink" Target="https://podminky.urs.cz/item/CS_URS_2022_02/734200824" TargetMode="External"/><Relationship Id="rId79" Type="http://schemas.openxmlformats.org/officeDocument/2006/relationships/hyperlink" Target="https://podminky.urs.cz/item/CS_URS_2022_02/998735102" TargetMode="External"/><Relationship Id="rId87" Type="http://schemas.openxmlformats.org/officeDocument/2006/relationships/hyperlink" Target="https://podminky.urs.cz/item/CS_URS_2022_02/783601731" TargetMode="External"/><Relationship Id="rId5" Type="http://schemas.openxmlformats.org/officeDocument/2006/relationships/hyperlink" Target="https://podminky.urs.cz/item/CS_URS_2022_02/977311112" TargetMode="External"/><Relationship Id="rId61" Type="http://schemas.openxmlformats.org/officeDocument/2006/relationships/hyperlink" Target="https://podminky.urs.cz/item/CS_URS_2022_02/734209118" TargetMode="External"/><Relationship Id="rId82" Type="http://schemas.openxmlformats.org/officeDocument/2006/relationships/hyperlink" Target="https://podminky.urs.cz/item/CS_URS_2022_02/783306801" TargetMode="External"/><Relationship Id="rId90" Type="http://schemas.openxmlformats.org/officeDocument/2006/relationships/hyperlink" Target="https://podminky.urs.cz/item/CS_URS_2022_02/783615551" TargetMode="External"/><Relationship Id="rId19" Type="http://schemas.openxmlformats.org/officeDocument/2006/relationships/hyperlink" Target="https://podminky.urs.cz/item/CS_URS_2022_02/998732102" TargetMode="External"/><Relationship Id="rId14" Type="http://schemas.openxmlformats.org/officeDocument/2006/relationships/hyperlink" Target="https://podminky.urs.cz/item/CS_URS_2022_02/713420841" TargetMode="External"/><Relationship Id="rId22" Type="http://schemas.openxmlformats.org/officeDocument/2006/relationships/hyperlink" Target="https://podminky.urs.cz/item/CS_URS_2022_02/732420812" TargetMode="External"/><Relationship Id="rId27" Type="http://schemas.openxmlformats.org/officeDocument/2006/relationships/hyperlink" Target="https://podminky.urs.cz/item/CS_URS_2022_02/733111106" TargetMode="External"/><Relationship Id="rId30" Type="http://schemas.openxmlformats.org/officeDocument/2006/relationships/hyperlink" Target="https://podminky.urs.cz/item/CS_URS_2022_02/733113115" TargetMode="External"/><Relationship Id="rId35" Type="http://schemas.openxmlformats.org/officeDocument/2006/relationships/hyperlink" Target="https://podminky.urs.cz/item/CS_URS_2022_02/733191915" TargetMode="External"/><Relationship Id="rId43" Type="http://schemas.openxmlformats.org/officeDocument/2006/relationships/hyperlink" Target="https://podminky.urs.cz/item/CS_URS_2022_02/733110808" TargetMode="External"/><Relationship Id="rId48" Type="http://schemas.openxmlformats.org/officeDocument/2006/relationships/hyperlink" Target="https://podminky.urs.cz/item/CS_URS_2022_02/734209113" TargetMode="External"/><Relationship Id="rId56" Type="http://schemas.openxmlformats.org/officeDocument/2006/relationships/hyperlink" Target="https://podminky.urs.cz/item/CS_URS_2022_02/734209126" TargetMode="External"/><Relationship Id="rId64" Type="http://schemas.openxmlformats.org/officeDocument/2006/relationships/hyperlink" Target="https://podminky.urs.cz/item/CS_URS_2022_02/734209118" TargetMode="External"/><Relationship Id="rId69" Type="http://schemas.openxmlformats.org/officeDocument/2006/relationships/hyperlink" Target="https://podminky.urs.cz/item/CS_URS_2022_02/734494213" TargetMode="External"/><Relationship Id="rId77" Type="http://schemas.openxmlformats.org/officeDocument/2006/relationships/hyperlink" Target="https://podminky.urs.cz/item/CS_URS_2022_02/735159210" TargetMode="External"/><Relationship Id="rId8" Type="http://schemas.openxmlformats.org/officeDocument/2006/relationships/hyperlink" Target="https://podminky.urs.cz/item/CS_URS_2022_02/997013511" TargetMode="External"/><Relationship Id="rId51" Type="http://schemas.openxmlformats.org/officeDocument/2006/relationships/hyperlink" Target="https://podminky.urs.cz/item/CS_URS_2022_02/734209114" TargetMode="External"/><Relationship Id="rId72" Type="http://schemas.openxmlformats.org/officeDocument/2006/relationships/hyperlink" Target="https://podminky.urs.cz/item/CS_URS_2022_02/998734193" TargetMode="External"/><Relationship Id="rId80" Type="http://schemas.openxmlformats.org/officeDocument/2006/relationships/hyperlink" Target="https://podminky.urs.cz/item/CS_URS_2022_02/998735193" TargetMode="External"/><Relationship Id="rId85" Type="http://schemas.openxmlformats.org/officeDocument/2006/relationships/hyperlink" Target="https://podminky.urs.cz/item/CS_URS_2022_02/783317101" TargetMode="External"/><Relationship Id="rId93" Type="http://schemas.openxmlformats.org/officeDocument/2006/relationships/hyperlink" Target="https://podminky.urs.cz/item/CS_URS_2022_02/783617621" TargetMode="External"/><Relationship Id="rId3" Type="http://schemas.openxmlformats.org/officeDocument/2006/relationships/hyperlink" Target="https://podminky.urs.cz/item/CS_URS_2022_02/977151214" TargetMode="External"/><Relationship Id="rId12" Type="http://schemas.openxmlformats.org/officeDocument/2006/relationships/hyperlink" Target="https://podminky.urs.cz/item/CS_URS_2022_02/998713192" TargetMode="External"/><Relationship Id="rId17" Type="http://schemas.openxmlformats.org/officeDocument/2006/relationships/hyperlink" Target="https://podminky.urs.cz/item/CS_URS_2022_02/732429212" TargetMode="External"/><Relationship Id="rId25" Type="http://schemas.openxmlformats.org/officeDocument/2006/relationships/hyperlink" Target="https://podminky.urs.cz/item/CS_URS_2022_02/733111104" TargetMode="External"/><Relationship Id="rId33" Type="http://schemas.openxmlformats.org/officeDocument/2006/relationships/hyperlink" Target="https://podminky.urs.cz/item/CS_URS_2022_02/733190108" TargetMode="External"/><Relationship Id="rId38" Type="http://schemas.openxmlformats.org/officeDocument/2006/relationships/hyperlink" Target="https://podminky.urs.cz/item/CS_URS_2022_02/998733102" TargetMode="External"/><Relationship Id="rId46" Type="http://schemas.openxmlformats.org/officeDocument/2006/relationships/hyperlink" Target="https://podminky.urs.cz/item/CS_URS_2022_02/734209113" TargetMode="External"/><Relationship Id="rId59" Type="http://schemas.openxmlformats.org/officeDocument/2006/relationships/hyperlink" Target="https://podminky.urs.cz/item/CS_URS_2022_02/734209117" TargetMode="External"/><Relationship Id="rId67" Type="http://schemas.openxmlformats.org/officeDocument/2006/relationships/hyperlink" Target="https://podminky.urs.cz/item/CS_URS_2022_02/734411113" TargetMode="External"/><Relationship Id="rId20" Type="http://schemas.openxmlformats.org/officeDocument/2006/relationships/hyperlink" Target="https://podminky.urs.cz/item/CS_URS_2022_02/998732193" TargetMode="External"/><Relationship Id="rId41" Type="http://schemas.openxmlformats.org/officeDocument/2006/relationships/hyperlink" Target="https://podminky.urs.cz/item/CS_URS_2022_02/733110808" TargetMode="External"/><Relationship Id="rId54" Type="http://schemas.openxmlformats.org/officeDocument/2006/relationships/hyperlink" Target="https://podminky.urs.cz/item/CS_URS_2022_02/734209116" TargetMode="External"/><Relationship Id="rId62" Type="http://schemas.openxmlformats.org/officeDocument/2006/relationships/hyperlink" Target="https://podminky.urs.cz/item/CS_URS_2022_02/734209118" TargetMode="External"/><Relationship Id="rId70" Type="http://schemas.openxmlformats.org/officeDocument/2006/relationships/hyperlink" Target="https://podminky.urs.cz/item/CS_URS_2022_02/734499211" TargetMode="External"/><Relationship Id="rId75" Type="http://schemas.openxmlformats.org/officeDocument/2006/relationships/hyperlink" Target="https://podminky.urs.cz/item/CS_URS_2022_02/734410821" TargetMode="External"/><Relationship Id="rId83" Type="http://schemas.openxmlformats.org/officeDocument/2006/relationships/hyperlink" Target="https://podminky.urs.cz/item/CS_URS_2022_02/783314101" TargetMode="External"/><Relationship Id="rId88" Type="http://schemas.openxmlformats.org/officeDocument/2006/relationships/hyperlink" Target="https://podminky.urs.cz/item/CS_URS_2022_02/783614551" TargetMode="External"/><Relationship Id="rId91" Type="http://schemas.openxmlformats.org/officeDocument/2006/relationships/hyperlink" Target="https://podminky.urs.cz/item/CS_URS_2022_02/783615561" TargetMode="External"/><Relationship Id="rId1" Type="http://schemas.openxmlformats.org/officeDocument/2006/relationships/hyperlink" Target="https://podminky.urs.cz/item/CS_URS_2022_02/965043321" TargetMode="External"/><Relationship Id="rId6" Type="http://schemas.openxmlformats.org/officeDocument/2006/relationships/hyperlink" Target="https://podminky.urs.cz/item/CS_URS_2022_02/997013153" TargetMode="External"/><Relationship Id="rId15" Type="http://schemas.openxmlformats.org/officeDocument/2006/relationships/hyperlink" Target="https://podminky.urs.cz/item/CS_URS_2022_02/713420841" TargetMode="External"/><Relationship Id="rId23" Type="http://schemas.openxmlformats.org/officeDocument/2006/relationships/hyperlink" Target="https://podminky.urs.cz/item/CS_URS_2022_02/733111117" TargetMode="External"/><Relationship Id="rId28" Type="http://schemas.openxmlformats.org/officeDocument/2006/relationships/hyperlink" Target="https://podminky.urs.cz/item/CS_URS_2022_02/733111118" TargetMode="External"/><Relationship Id="rId36" Type="http://schemas.openxmlformats.org/officeDocument/2006/relationships/hyperlink" Target="https://podminky.urs.cz/item/CS_URS_2022_02/733191923" TargetMode="External"/><Relationship Id="rId49" Type="http://schemas.openxmlformats.org/officeDocument/2006/relationships/hyperlink" Target="https://podminky.urs.cz/item/CS_URS_2022_02/734209113" TargetMode="External"/><Relationship Id="rId57" Type="http://schemas.openxmlformats.org/officeDocument/2006/relationships/hyperlink" Target="https://podminky.urs.cz/item/CS_URS_2022_02/734209117" TargetMode="External"/><Relationship Id="rId10" Type="http://schemas.openxmlformats.org/officeDocument/2006/relationships/hyperlink" Target="https://podminky.urs.cz/item/CS_URS_2022_02/997013871" TargetMode="External"/><Relationship Id="rId31" Type="http://schemas.openxmlformats.org/officeDocument/2006/relationships/hyperlink" Target="https://podminky.urs.cz/item/CS_URS_2022_02/733121225" TargetMode="External"/><Relationship Id="rId44" Type="http://schemas.openxmlformats.org/officeDocument/2006/relationships/hyperlink" Target="https://podminky.urs.cz/item/CS_URS_2022_02/734209103" TargetMode="External"/><Relationship Id="rId52" Type="http://schemas.openxmlformats.org/officeDocument/2006/relationships/hyperlink" Target="https://podminky.urs.cz/item/CS_URS_2022_02/734209115" TargetMode="External"/><Relationship Id="rId60" Type="http://schemas.openxmlformats.org/officeDocument/2006/relationships/hyperlink" Target="https://podminky.urs.cz/item/CS_URS_2022_02/734209117" TargetMode="External"/><Relationship Id="rId65" Type="http://schemas.openxmlformats.org/officeDocument/2006/relationships/hyperlink" Target="https://podminky.urs.cz/item/CS_URS_2022_02/734209120" TargetMode="External"/><Relationship Id="rId73" Type="http://schemas.openxmlformats.org/officeDocument/2006/relationships/hyperlink" Target="https://podminky.urs.cz/item/CS_URS_2022_02/734200811" TargetMode="External"/><Relationship Id="rId78" Type="http://schemas.openxmlformats.org/officeDocument/2006/relationships/hyperlink" Target="https://podminky.urs.cz/item/CS_URS_2022_02/735159210" TargetMode="External"/><Relationship Id="rId81" Type="http://schemas.openxmlformats.org/officeDocument/2006/relationships/hyperlink" Target="https://podminky.urs.cz/item/CS_URS_2022_02/735151821" TargetMode="External"/><Relationship Id="rId86" Type="http://schemas.openxmlformats.org/officeDocument/2006/relationships/hyperlink" Target="https://podminky.urs.cz/item/CS_URS_2022_02/783601713" TargetMode="External"/><Relationship Id="rId94" Type="http://schemas.openxmlformats.org/officeDocument/2006/relationships/drawing" Target="../drawings/drawing2.xml"/><Relationship Id="rId4" Type="http://schemas.openxmlformats.org/officeDocument/2006/relationships/hyperlink" Target="https://podminky.urs.cz/item/CS_URS_2022_02/977151216" TargetMode="External"/><Relationship Id="rId9" Type="http://schemas.openxmlformats.org/officeDocument/2006/relationships/hyperlink" Target="https://podminky.urs.cz/item/CS_URS_2022_02/997013814"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3" Type="http://schemas.openxmlformats.org/officeDocument/2006/relationships/hyperlink" Target="https://podminky.urs.cz/item/CS_URS_2022_02/998721192" TargetMode="External"/><Relationship Id="rId18" Type="http://schemas.openxmlformats.org/officeDocument/2006/relationships/hyperlink" Target="https://podminky.urs.cz/item/CS_URS_2022_02/751344112" TargetMode="External"/><Relationship Id="rId26" Type="http://schemas.openxmlformats.org/officeDocument/2006/relationships/hyperlink" Target="https://podminky.urs.cz/item/CS_URS_2022_02/751510018" TargetMode="External"/><Relationship Id="rId39" Type="http://schemas.openxmlformats.org/officeDocument/2006/relationships/hyperlink" Target="https://podminky.urs.cz/item/CS_URS_2022_02/751344112" TargetMode="External"/><Relationship Id="rId21" Type="http://schemas.openxmlformats.org/officeDocument/2006/relationships/hyperlink" Target="https://podminky.urs.cz/item/CS_URS_2022_02/751514679" TargetMode="External"/><Relationship Id="rId34" Type="http://schemas.openxmlformats.org/officeDocument/2006/relationships/hyperlink" Target="https://podminky.urs.cz/item/CS_URS_2022_02/751511808" TargetMode="External"/><Relationship Id="rId42" Type="http://schemas.openxmlformats.org/officeDocument/2006/relationships/hyperlink" Target="https://podminky.urs.cz/item/CS_URS_2022_02/751514614" TargetMode="External"/><Relationship Id="rId47" Type="http://schemas.openxmlformats.org/officeDocument/2006/relationships/hyperlink" Target="https://podminky.urs.cz/item/CS_URS_2022_02/751311096" TargetMode="External"/><Relationship Id="rId50" Type="http://schemas.openxmlformats.org/officeDocument/2006/relationships/hyperlink" Target="https://podminky.urs.cz/item/CS_URS_2022_02/751510012" TargetMode="External"/><Relationship Id="rId55" Type="http://schemas.openxmlformats.org/officeDocument/2006/relationships/hyperlink" Target="https://podminky.urs.cz/item/CS_URS_2022_02/751510042" TargetMode="External"/><Relationship Id="rId63" Type="http://schemas.openxmlformats.org/officeDocument/2006/relationships/hyperlink" Target="https://podminky.urs.cz/item/CS_URS_2022_02/998751191" TargetMode="External"/><Relationship Id="rId68" Type="http://schemas.openxmlformats.org/officeDocument/2006/relationships/hyperlink" Target="https://podminky.urs.cz/item/CS_URS_2022_02/751510012" TargetMode="External"/><Relationship Id="rId7" Type="http://schemas.openxmlformats.org/officeDocument/2006/relationships/hyperlink" Target="https://podminky.urs.cz/item/CS_URS_2022_02/998017002" TargetMode="External"/><Relationship Id="rId71" Type="http://schemas.openxmlformats.org/officeDocument/2006/relationships/hyperlink" Target="https://podminky.urs.cz/item/CS_URS_2022_02/998751191" TargetMode="External"/><Relationship Id="rId2" Type="http://schemas.openxmlformats.org/officeDocument/2006/relationships/hyperlink" Target="https://podminky.urs.cz/item/CS_URS_2022_02/997013153" TargetMode="External"/><Relationship Id="rId16" Type="http://schemas.openxmlformats.org/officeDocument/2006/relationships/hyperlink" Target="https://podminky.urs.cz/item/CS_URS_2022_02/751344125" TargetMode="External"/><Relationship Id="rId29" Type="http://schemas.openxmlformats.org/officeDocument/2006/relationships/hyperlink" Target="https://podminky.urs.cz/item/CS_URS_2022_02/998751101" TargetMode="External"/><Relationship Id="rId1" Type="http://schemas.openxmlformats.org/officeDocument/2006/relationships/hyperlink" Target="https://podminky.urs.cz/item/CS_URS_2022_02/949101111" TargetMode="External"/><Relationship Id="rId6" Type="http://schemas.openxmlformats.org/officeDocument/2006/relationships/hyperlink" Target="https://podminky.urs.cz/item/CS_URS_2022_02/997013871" TargetMode="External"/><Relationship Id="rId11" Type="http://schemas.openxmlformats.org/officeDocument/2006/relationships/hyperlink" Target="https://podminky.urs.cz/item/CS_URS_2022_02/721171905" TargetMode="External"/><Relationship Id="rId24" Type="http://schemas.openxmlformats.org/officeDocument/2006/relationships/hyperlink" Target="https://podminky.urs.cz/item/CS_URS_2022_02/751510016" TargetMode="External"/><Relationship Id="rId32" Type="http://schemas.openxmlformats.org/officeDocument/2006/relationships/hyperlink" Target="https://podminky.urs.cz/item/CS_URS_2022_02/751511806" TargetMode="External"/><Relationship Id="rId37" Type="http://schemas.openxmlformats.org/officeDocument/2006/relationships/hyperlink" Target="https://podminky.urs.cz/item/CS_URS_2022_02/751344123" TargetMode="External"/><Relationship Id="rId40" Type="http://schemas.openxmlformats.org/officeDocument/2006/relationships/hyperlink" Target="https://podminky.urs.cz/item/CS_URS_2022_02/751514613" TargetMode="External"/><Relationship Id="rId45" Type="http://schemas.openxmlformats.org/officeDocument/2006/relationships/hyperlink" Target="https://podminky.urs.cz/item/CS_URS_2022_02/751322213" TargetMode="External"/><Relationship Id="rId53" Type="http://schemas.openxmlformats.org/officeDocument/2006/relationships/hyperlink" Target="https://podminky.urs.cz/item/CS_URS_2022_02/751510015" TargetMode="External"/><Relationship Id="rId58" Type="http://schemas.openxmlformats.org/officeDocument/2006/relationships/hyperlink" Target="https://podminky.urs.cz/item/CS_URS_2022_02/751511802" TargetMode="External"/><Relationship Id="rId66" Type="http://schemas.openxmlformats.org/officeDocument/2006/relationships/hyperlink" Target="https://podminky.urs.cz/item/CS_URS_2022_02/751377043" TargetMode="External"/><Relationship Id="rId5" Type="http://schemas.openxmlformats.org/officeDocument/2006/relationships/hyperlink" Target="https://podminky.urs.cz/item/CS_URS_2022_02/997013814" TargetMode="External"/><Relationship Id="rId15" Type="http://schemas.openxmlformats.org/officeDocument/2006/relationships/hyperlink" Target="https://podminky.urs.cz/item/CS_URS_2022_02/751122092" TargetMode="External"/><Relationship Id="rId23" Type="http://schemas.openxmlformats.org/officeDocument/2006/relationships/hyperlink" Target="https://podminky.urs.cz/item/CS_URS_2022_02/751510015" TargetMode="External"/><Relationship Id="rId28" Type="http://schemas.openxmlformats.org/officeDocument/2006/relationships/hyperlink" Target="https://podminky.urs.cz/item/CS_URS_2022_02/751510042" TargetMode="External"/><Relationship Id="rId36" Type="http://schemas.openxmlformats.org/officeDocument/2006/relationships/hyperlink" Target="https://podminky.urs.cz/item/CS_URS_2022_02/751122092" TargetMode="External"/><Relationship Id="rId49" Type="http://schemas.openxmlformats.org/officeDocument/2006/relationships/hyperlink" Target="https://podminky.urs.cz/item/CS_URS_2022_02/751311093" TargetMode="External"/><Relationship Id="rId57" Type="http://schemas.openxmlformats.org/officeDocument/2006/relationships/hyperlink" Target="https://podminky.urs.cz/item/CS_URS_2022_02/998751191" TargetMode="External"/><Relationship Id="rId61" Type="http://schemas.openxmlformats.org/officeDocument/2006/relationships/hyperlink" Target="https://podminky.urs.cz/item/CS_URS_2022_02/751123812" TargetMode="External"/><Relationship Id="rId10" Type="http://schemas.openxmlformats.org/officeDocument/2006/relationships/hyperlink" Target="https://podminky.urs.cz/item/CS_URS_2022_02/721174042" TargetMode="External"/><Relationship Id="rId19" Type="http://schemas.openxmlformats.org/officeDocument/2006/relationships/hyperlink" Target="https://podminky.urs.cz/item/CS_URS_2022_02/751514629" TargetMode="External"/><Relationship Id="rId31" Type="http://schemas.openxmlformats.org/officeDocument/2006/relationships/hyperlink" Target="https://podminky.urs.cz/item/CS_URS_2022_02/751123825" TargetMode="External"/><Relationship Id="rId44" Type="http://schemas.openxmlformats.org/officeDocument/2006/relationships/hyperlink" Target="https://podminky.urs.cz/item/CS_URS_2022_02/751514679" TargetMode="External"/><Relationship Id="rId52" Type="http://schemas.openxmlformats.org/officeDocument/2006/relationships/hyperlink" Target="https://podminky.urs.cz/item/CS_URS_2022_02/751510014" TargetMode="External"/><Relationship Id="rId60" Type="http://schemas.openxmlformats.org/officeDocument/2006/relationships/hyperlink" Target="https://podminky.urs.cz/item/CS_URS_2022_02/751511806" TargetMode="External"/><Relationship Id="rId65" Type="http://schemas.openxmlformats.org/officeDocument/2006/relationships/hyperlink" Target="https://podminky.urs.cz/item/CS_URS_2022_02/998751191" TargetMode="External"/><Relationship Id="rId4" Type="http://schemas.openxmlformats.org/officeDocument/2006/relationships/hyperlink" Target="https://podminky.urs.cz/item/CS_URS_2022_02/997013511" TargetMode="External"/><Relationship Id="rId9" Type="http://schemas.openxmlformats.org/officeDocument/2006/relationships/hyperlink" Target="https://podminky.urs.cz/item/CS_URS_2022_02/998713192" TargetMode="External"/><Relationship Id="rId14" Type="http://schemas.openxmlformats.org/officeDocument/2006/relationships/hyperlink" Target="https://podminky.urs.cz/item/CS_URS_2022_02/751122678" TargetMode="External"/><Relationship Id="rId22" Type="http://schemas.openxmlformats.org/officeDocument/2006/relationships/hyperlink" Target="https://podminky.urs.cz/item/CS_URS_2022_02/751514680" TargetMode="External"/><Relationship Id="rId27" Type="http://schemas.openxmlformats.org/officeDocument/2006/relationships/hyperlink" Target="https://podminky.urs.cz/item/CS_URS_2022_02/751510019" TargetMode="External"/><Relationship Id="rId30" Type="http://schemas.openxmlformats.org/officeDocument/2006/relationships/hyperlink" Target="https://podminky.urs.cz/item/CS_URS_2022_02/998751191" TargetMode="External"/><Relationship Id="rId35" Type="http://schemas.openxmlformats.org/officeDocument/2006/relationships/hyperlink" Target="https://podminky.urs.cz/item/CS_URS_2022_02/751344825" TargetMode="External"/><Relationship Id="rId43" Type="http://schemas.openxmlformats.org/officeDocument/2006/relationships/hyperlink" Target="https://podminky.urs.cz/item/CS_URS_2022_02/751514679" TargetMode="External"/><Relationship Id="rId48" Type="http://schemas.openxmlformats.org/officeDocument/2006/relationships/hyperlink" Target="https://podminky.urs.cz/item/CS_URS_2022_02/751311092" TargetMode="External"/><Relationship Id="rId56" Type="http://schemas.openxmlformats.org/officeDocument/2006/relationships/hyperlink" Target="https://podminky.urs.cz/item/CS_URS_2022_02/998751101" TargetMode="External"/><Relationship Id="rId64" Type="http://schemas.openxmlformats.org/officeDocument/2006/relationships/hyperlink" Target="https://podminky.urs.cz/item/CS_URS_2022_02/998751101" TargetMode="External"/><Relationship Id="rId69" Type="http://schemas.openxmlformats.org/officeDocument/2006/relationships/hyperlink" Target="https://podminky.urs.cz/item/CS_URS_2022_02/751510013" TargetMode="External"/><Relationship Id="rId8" Type="http://schemas.openxmlformats.org/officeDocument/2006/relationships/hyperlink" Target="https://podminky.urs.cz/item/CS_URS_2022_02/998713102" TargetMode="External"/><Relationship Id="rId51" Type="http://schemas.openxmlformats.org/officeDocument/2006/relationships/hyperlink" Target="https://podminky.urs.cz/item/CS_URS_2022_02/751510013" TargetMode="External"/><Relationship Id="rId72" Type="http://schemas.openxmlformats.org/officeDocument/2006/relationships/drawing" Target="../drawings/drawing4.xml"/><Relationship Id="rId3" Type="http://schemas.openxmlformats.org/officeDocument/2006/relationships/hyperlink" Target="https://podminky.urs.cz/item/CS_URS_2022_02/997013509" TargetMode="External"/><Relationship Id="rId12" Type="http://schemas.openxmlformats.org/officeDocument/2006/relationships/hyperlink" Target="https://podminky.urs.cz/item/CS_URS_2022_02/998721102" TargetMode="External"/><Relationship Id="rId17" Type="http://schemas.openxmlformats.org/officeDocument/2006/relationships/hyperlink" Target="https://podminky.urs.cz/item/CS_URS_2022_02/751344125" TargetMode="External"/><Relationship Id="rId25" Type="http://schemas.openxmlformats.org/officeDocument/2006/relationships/hyperlink" Target="https://podminky.urs.cz/item/CS_URS_2022_02/751510017" TargetMode="External"/><Relationship Id="rId33" Type="http://schemas.openxmlformats.org/officeDocument/2006/relationships/hyperlink" Target="https://podminky.urs.cz/item/CS_URS_2022_02/751511807" TargetMode="External"/><Relationship Id="rId38" Type="http://schemas.openxmlformats.org/officeDocument/2006/relationships/hyperlink" Target="https://podminky.urs.cz/item/CS_URS_2022_02/751344123" TargetMode="External"/><Relationship Id="rId46" Type="http://schemas.openxmlformats.org/officeDocument/2006/relationships/hyperlink" Target="https://podminky.urs.cz/item/CS_URS_2022_02/751311322" TargetMode="External"/><Relationship Id="rId59" Type="http://schemas.openxmlformats.org/officeDocument/2006/relationships/hyperlink" Target="https://podminky.urs.cz/item/CS_URS_2022_02/751511805" TargetMode="External"/><Relationship Id="rId67" Type="http://schemas.openxmlformats.org/officeDocument/2006/relationships/hyperlink" Target="https://podminky.urs.cz/item/CS_URS_2022_02/751377043" TargetMode="External"/><Relationship Id="rId20" Type="http://schemas.openxmlformats.org/officeDocument/2006/relationships/hyperlink" Target="https://podminky.urs.cz/item/CS_URS_2022_02/751514629" TargetMode="External"/><Relationship Id="rId41" Type="http://schemas.openxmlformats.org/officeDocument/2006/relationships/hyperlink" Target="https://podminky.urs.cz/item/CS_URS_2022_02/751514614" TargetMode="External"/><Relationship Id="rId54" Type="http://schemas.openxmlformats.org/officeDocument/2006/relationships/hyperlink" Target="https://podminky.urs.cz/item/CS_URS_2022_02/751510016" TargetMode="External"/><Relationship Id="rId62" Type="http://schemas.openxmlformats.org/officeDocument/2006/relationships/hyperlink" Target="https://podminky.urs.cz/item/CS_URS_2022_02/998751101" TargetMode="External"/><Relationship Id="rId70" Type="http://schemas.openxmlformats.org/officeDocument/2006/relationships/hyperlink" Target="https://podminky.urs.cz/item/CS_URS_2022_02/998751101"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168E7-6A30-4583-8A62-B180432A3442}">
  <sheetPr>
    <pageSetUpPr fitToPage="1"/>
  </sheetPr>
  <dimension ref="A1:I24"/>
  <sheetViews>
    <sheetView showOutlineSymbols="0" workbookViewId="0">
      <selection activeCell="C32" sqref="C32"/>
    </sheetView>
  </sheetViews>
  <sheetFormatPr defaultColWidth="12.140625" defaultRowHeight="15" customHeight="1"/>
  <cols>
    <col min="1" max="1" width="9.140625" style="202" customWidth="1"/>
    <col min="2" max="2" width="12.85546875" style="202" customWidth="1"/>
    <col min="3" max="3" width="27.140625" style="202" customWidth="1"/>
    <col min="4" max="4" width="10" style="202" customWidth="1"/>
    <col min="5" max="5" width="14" style="202" customWidth="1"/>
    <col min="6" max="6" width="27.140625" style="202" customWidth="1"/>
    <col min="7" max="7" width="9.140625" style="202" customWidth="1"/>
    <col min="8" max="8" width="12.85546875" style="202" customWidth="1"/>
    <col min="9" max="9" width="27.140625" style="202" customWidth="1"/>
    <col min="10" max="16384" width="12.140625" style="197"/>
  </cols>
  <sheetData>
    <row r="1" spans="1:9" ht="54.75" customHeight="1">
      <c r="A1" s="206" t="s">
        <v>2041</v>
      </c>
      <c r="B1" s="206"/>
      <c r="C1" s="206"/>
      <c r="D1" s="206"/>
      <c r="E1" s="206"/>
      <c r="F1" s="206"/>
      <c r="G1" s="206"/>
      <c r="H1" s="206"/>
      <c r="I1" s="206"/>
    </row>
    <row r="2" spans="1:9" ht="15" customHeight="1">
      <c r="A2" s="207" t="s">
        <v>2020</v>
      </c>
      <c r="B2" s="207"/>
      <c r="C2" s="208" t="s">
        <v>2019</v>
      </c>
      <c r="D2" s="208"/>
      <c r="E2" s="209" t="s">
        <v>2017</v>
      </c>
      <c r="F2" s="209" t="s">
        <v>2016</v>
      </c>
      <c r="G2" s="209"/>
      <c r="H2" s="209" t="s">
        <v>2039</v>
      </c>
      <c r="I2" s="210"/>
    </row>
    <row r="3" spans="1:9" ht="25.5" customHeight="1">
      <c r="A3" s="207"/>
      <c r="B3" s="207"/>
      <c r="C3" s="208"/>
      <c r="D3" s="208"/>
      <c r="E3" s="209"/>
      <c r="F3" s="209"/>
      <c r="G3" s="209"/>
      <c r="H3" s="209"/>
      <c r="I3" s="210"/>
    </row>
    <row r="4" spans="1:9" ht="15" customHeight="1">
      <c r="A4" s="212" t="s">
        <v>2015</v>
      </c>
      <c r="B4" s="212"/>
      <c r="C4" s="213" t="s">
        <v>1305</v>
      </c>
      <c r="D4" s="213"/>
      <c r="E4" s="213" t="s">
        <v>390</v>
      </c>
      <c r="F4" s="213" t="s">
        <v>2042</v>
      </c>
      <c r="G4" s="213"/>
      <c r="H4" s="213" t="s">
        <v>2039</v>
      </c>
      <c r="I4" s="211"/>
    </row>
    <row r="5" spans="1:9" ht="15" customHeight="1">
      <c r="A5" s="212"/>
      <c r="B5" s="212"/>
      <c r="C5" s="213"/>
      <c r="D5" s="213"/>
      <c r="E5" s="213"/>
      <c r="F5" s="213"/>
      <c r="G5" s="213"/>
      <c r="H5" s="213"/>
      <c r="I5" s="211"/>
    </row>
    <row r="6" spans="1:9" ht="15" customHeight="1">
      <c r="A6" s="212" t="s">
        <v>2012</v>
      </c>
      <c r="B6" s="212"/>
      <c r="C6" s="213" t="s">
        <v>2011</v>
      </c>
      <c r="D6" s="213"/>
      <c r="E6" s="213" t="s">
        <v>2009</v>
      </c>
      <c r="F6" s="213" t="s">
        <v>2008</v>
      </c>
      <c r="G6" s="213"/>
      <c r="H6" s="213" t="s">
        <v>2039</v>
      </c>
      <c r="I6" s="211"/>
    </row>
    <row r="7" spans="1:9" ht="15" customHeight="1">
      <c r="A7" s="212"/>
      <c r="B7" s="212"/>
      <c r="C7" s="213"/>
      <c r="D7" s="213"/>
      <c r="E7" s="213"/>
      <c r="F7" s="213"/>
      <c r="G7" s="213"/>
      <c r="H7" s="213"/>
      <c r="I7" s="211"/>
    </row>
    <row r="8" spans="1:9" ht="15" customHeight="1">
      <c r="A8" s="212" t="s">
        <v>2014</v>
      </c>
      <c r="B8" s="212"/>
      <c r="C8" s="213" t="s">
        <v>2043</v>
      </c>
      <c r="D8" s="213"/>
      <c r="E8" s="213" t="s">
        <v>2010</v>
      </c>
      <c r="F8" s="213" t="s">
        <v>1305</v>
      </c>
      <c r="G8" s="213"/>
      <c r="H8" s="215" t="s">
        <v>2038</v>
      </c>
      <c r="I8" s="216">
        <v>121</v>
      </c>
    </row>
    <row r="9" spans="1:9" ht="15" customHeight="1">
      <c r="A9" s="212"/>
      <c r="B9" s="212"/>
      <c r="C9" s="213"/>
      <c r="D9" s="213"/>
      <c r="E9" s="213"/>
      <c r="F9" s="213"/>
      <c r="G9" s="213"/>
      <c r="H9" s="215"/>
      <c r="I9" s="216"/>
    </row>
    <row r="10" spans="1:9" ht="15" customHeight="1">
      <c r="A10" s="219" t="s">
        <v>2007</v>
      </c>
      <c r="B10" s="219"/>
      <c r="C10" s="220" t="s">
        <v>1305</v>
      </c>
      <c r="D10" s="220"/>
      <c r="E10" s="220" t="s">
        <v>2004</v>
      </c>
      <c r="F10" s="220" t="s">
        <v>2044</v>
      </c>
      <c r="G10" s="220"/>
      <c r="H10" s="221" t="s">
        <v>392</v>
      </c>
      <c r="I10" s="214" t="s">
        <v>2043</v>
      </c>
    </row>
    <row r="11" spans="1:9" ht="15" customHeight="1">
      <c r="A11" s="219"/>
      <c r="B11" s="219"/>
      <c r="C11" s="220"/>
      <c r="D11" s="220"/>
      <c r="E11" s="220"/>
      <c r="F11" s="220"/>
      <c r="G11" s="220"/>
      <c r="H11" s="221"/>
      <c r="I11" s="214"/>
    </row>
    <row r="12" spans="1:9" ht="22.5" customHeight="1">
      <c r="A12" s="222" t="s">
        <v>2045</v>
      </c>
      <c r="B12" s="222"/>
      <c r="C12" s="222"/>
      <c r="D12" s="222"/>
      <c r="E12" s="222"/>
      <c r="F12" s="222"/>
      <c r="G12" s="222"/>
      <c r="H12" s="222"/>
      <c r="I12" s="222"/>
    </row>
    <row r="13" spans="1:9" ht="15" customHeight="1">
      <c r="A13" s="198"/>
      <c r="B13" s="198"/>
      <c r="C13" s="198"/>
      <c r="D13" s="198"/>
      <c r="E13" s="198"/>
      <c r="F13" s="198"/>
      <c r="G13" s="198"/>
      <c r="H13" s="198"/>
      <c r="I13" s="198"/>
    </row>
    <row r="14" spans="1:9" ht="15" customHeight="1">
      <c r="A14" s="223" t="s">
        <v>2046</v>
      </c>
      <c r="B14" s="223"/>
      <c r="C14" s="199">
        <v>0</v>
      </c>
      <c r="D14" s="198"/>
      <c r="E14" s="198"/>
      <c r="F14" s="198"/>
      <c r="G14" s="198"/>
      <c r="H14" s="198"/>
      <c r="I14" s="198"/>
    </row>
    <row r="15" spans="1:9" ht="15" customHeight="1">
      <c r="A15" s="217" t="s">
        <v>2047</v>
      </c>
      <c r="B15" s="217"/>
      <c r="C15" s="200">
        <v>0</v>
      </c>
      <c r="D15" s="224" t="s">
        <v>2048</v>
      </c>
      <c r="E15" s="224"/>
      <c r="F15" s="199">
        <f>ROUND(C15*(15/100),2)</f>
        <v>0</v>
      </c>
      <c r="G15" s="224" t="s">
        <v>2049</v>
      </c>
      <c r="H15" s="224"/>
      <c r="I15" s="199">
        <f>'Rozpočet - objekty'!L18</f>
        <v>0</v>
      </c>
    </row>
    <row r="16" spans="1:9" ht="15" customHeight="1">
      <c r="A16" s="217" t="s">
        <v>2050</v>
      </c>
      <c r="B16" s="217"/>
      <c r="C16" s="200">
        <f>'Rozpočet - objekty'!L18</f>
        <v>0</v>
      </c>
      <c r="D16" s="218" t="s">
        <v>2051</v>
      </c>
      <c r="E16" s="218"/>
      <c r="F16" s="200">
        <f>ROUND(C16*(21/100),2)</f>
        <v>0</v>
      </c>
      <c r="G16" s="218" t="s">
        <v>2052</v>
      </c>
      <c r="H16" s="218"/>
      <c r="I16" s="200">
        <f>ROUND(SUM(F15:F16)+I15,0)</f>
        <v>0</v>
      </c>
    </row>
    <row r="17" spans="1:9" ht="15" customHeight="1" thickBot="1">
      <c r="A17" s="198"/>
      <c r="B17" s="198"/>
      <c r="C17" s="198"/>
      <c r="D17" s="198"/>
      <c r="E17" s="198"/>
      <c r="F17" s="198"/>
      <c r="G17" s="198"/>
      <c r="H17" s="198"/>
      <c r="I17" s="198"/>
    </row>
    <row r="18" spans="1:9" ht="15" customHeight="1">
      <c r="A18" s="225" t="s">
        <v>415</v>
      </c>
      <c r="B18" s="225"/>
      <c r="C18" s="225"/>
      <c r="D18" s="226" t="s">
        <v>2053</v>
      </c>
      <c r="E18" s="226"/>
      <c r="F18" s="226"/>
      <c r="G18" s="226" t="s">
        <v>2054</v>
      </c>
      <c r="H18" s="226"/>
      <c r="I18" s="226"/>
    </row>
    <row r="19" spans="1:9" ht="15" customHeight="1">
      <c r="A19" s="227"/>
      <c r="B19" s="227"/>
      <c r="C19" s="227"/>
      <c r="D19" s="228"/>
      <c r="E19" s="228"/>
      <c r="F19" s="228"/>
      <c r="G19" s="228"/>
      <c r="H19" s="228"/>
      <c r="I19" s="228"/>
    </row>
    <row r="20" spans="1:9" ht="15" customHeight="1">
      <c r="A20" s="227"/>
      <c r="B20" s="227"/>
      <c r="C20" s="227"/>
      <c r="D20" s="228"/>
      <c r="E20" s="228"/>
      <c r="F20" s="228"/>
      <c r="G20" s="228"/>
      <c r="H20" s="228"/>
      <c r="I20" s="228"/>
    </row>
    <row r="21" spans="1:9" ht="15" customHeight="1">
      <c r="A21" s="227"/>
      <c r="B21" s="227"/>
      <c r="C21" s="227"/>
      <c r="D21" s="228"/>
      <c r="E21" s="228"/>
      <c r="F21" s="228"/>
      <c r="G21" s="228"/>
      <c r="H21" s="228"/>
      <c r="I21" s="228"/>
    </row>
    <row r="22" spans="1:9" ht="15" customHeight="1" thickBot="1">
      <c r="A22" s="229" t="s">
        <v>2055</v>
      </c>
      <c r="B22" s="229"/>
      <c r="C22" s="229"/>
      <c r="D22" s="230" t="s">
        <v>2055</v>
      </c>
      <c r="E22" s="230"/>
      <c r="F22" s="230"/>
      <c r="G22" s="230" t="s">
        <v>2055</v>
      </c>
      <c r="H22" s="230"/>
      <c r="I22" s="230"/>
    </row>
    <row r="23" spans="1:9" ht="15" customHeight="1">
      <c r="A23" s="201" t="s">
        <v>427</v>
      </c>
      <c r="B23" s="198"/>
      <c r="C23" s="198"/>
      <c r="D23" s="198"/>
      <c r="E23" s="198"/>
      <c r="F23" s="198"/>
      <c r="G23" s="198"/>
      <c r="H23" s="198"/>
      <c r="I23" s="198"/>
    </row>
    <row r="24" spans="1:9" ht="12.75" customHeight="1">
      <c r="A24" s="231"/>
      <c r="B24" s="231"/>
      <c r="C24" s="231"/>
      <c r="D24" s="231"/>
      <c r="E24" s="231"/>
      <c r="F24" s="231"/>
      <c r="G24" s="231"/>
      <c r="H24" s="231"/>
      <c r="I24" s="231"/>
    </row>
  </sheetData>
  <sheetProtection algorithmName="SHA-512" hashValue="LcRbsr84/+n7YFQIuxN0ViJvXpuAWJN+dkvEfYsCBUS4BF3kVoKrJWEj3hOQLoLJeHL4uoG8sQ2TrZgwjCIzEQ==" saltValue="I29Z1R3hrydkvJACWPQ2Ew==" spinCount="100000" sheet="1" selectLockedCells="1" selectUnlockedCells="1"/>
  <mergeCells count="55">
    <mergeCell ref="A22:C22"/>
    <mergeCell ref="D22:F22"/>
    <mergeCell ref="G22:I22"/>
    <mergeCell ref="A24:I24"/>
    <mergeCell ref="A20:C20"/>
    <mergeCell ref="D20:F20"/>
    <mergeCell ref="G20:I20"/>
    <mergeCell ref="A21:C21"/>
    <mergeCell ref="D21:F21"/>
    <mergeCell ref="G21:I21"/>
    <mergeCell ref="A18:C18"/>
    <mergeCell ref="D18:F18"/>
    <mergeCell ref="G18:I18"/>
    <mergeCell ref="A19:C19"/>
    <mergeCell ref="D19:F19"/>
    <mergeCell ref="G19:I19"/>
    <mergeCell ref="A16:B16"/>
    <mergeCell ref="D16:E16"/>
    <mergeCell ref="G16:H16"/>
    <mergeCell ref="A10:B11"/>
    <mergeCell ref="C10:D11"/>
    <mergeCell ref="E10:E11"/>
    <mergeCell ref="F10:G11"/>
    <mergeCell ref="H10:H11"/>
    <mergeCell ref="A12:I12"/>
    <mergeCell ref="A14:B14"/>
    <mergeCell ref="A15:B15"/>
    <mergeCell ref="D15:E15"/>
    <mergeCell ref="G15:H15"/>
    <mergeCell ref="I10:I11"/>
    <mergeCell ref="A8:B9"/>
    <mergeCell ref="C8:D9"/>
    <mergeCell ref="E8:E9"/>
    <mergeCell ref="F8:G9"/>
    <mergeCell ref="H8:H9"/>
    <mergeCell ref="I8:I9"/>
    <mergeCell ref="I6:I7"/>
    <mergeCell ref="A4:B5"/>
    <mergeCell ref="C4:D5"/>
    <mergeCell ref="E4:E5"/>
    <mergeCell ref="F4:G5"/>
    <mergeCell ref="H4:H5"/>
    <mergeCell ref="I4:I5"/>
    <mergeCell ref="A6:B7"/>
    <mergeCell ref="C6:D7"/>
    <mergeCell ref="E6:E7"/>
    <mergeCell ref="F6:G7"/>
    <mergeCell ref="H6:H7"/>
    <mergeCell ref="A1:I1"/>
    <mergeCell ref="A2:B3"/>
    <mergeCell ref="C2:D3"/>
    <mergeCell ref="E2:E3"/>
    <mergeCell ref="F2:G3"/>
    <mergeCell ref="H2:H3"/>
    <mergeCell ref="I2:I3"/>
  </mergeCells>
  <pageMargins left="0.39374999999999999" right="0.39374999999999999" top="0.59097222222222223" bottom="0.59097222222222223" header="0.51181102362204722" footer="0.51181102362204722"/>
  <pageSetup paperSize="9" firstPageNumber="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63216-9932-489D-9B5E-9CF79881D9BA}">
  <sheetPr>
    <pageSetUpPr fitToPage="1"/>
  </sheetPr>
  <dimension ref="A1:P20"/>
  <sheetViews>
    <sheetView workbookViewId="0">
      <pane ySplit="11" topLeftCell="A12" activePane="bottomLeft" state="frozen"/>
      <selection pane="bottomLeft" sqref="A1:L1"/>
    </sheetView>
  </sheetViews>
  <sheetFormatPr defaultColWidth="11.5703125" defaultRowHeight="12.75"/>
  <cols>
    <col min="1" max="1" width="7.5703125" style="126" customWidth="1"/>
    <col min="2" max="11" width="15.7109375" style="126" customWidth="1"/>
    <col min="12" max="12" width="14.28515625" style="126" customWidth="1"/>
    <col min="13" max="16" width="12.140625" style="126" hidden="1" customWidth="1"/>
    <col min="17" max="16384" width="11.5703125" style="126"/>
  </cols>
  <sheetData>
    <row r="1" spans="1:16" ht="72.95" customHeight="1">
      <c r="A1" s="234" t="s">
        <v>2024</v>
      </c>
      <c r="B1" s="234"/>
      <c r="C1" s="234"/>
      <c r="D1" s="234"/>
      <c r="E1" s="234"/>
      <c r="F1" s="234"/>
      <c r="G1" s="234"/>
      <c r="H1" s="234"/>
      <c r="I1" s="234"/>
      <c r="J1" s="234"/>
      <c r="K1" s="234"/>
      <c r="L1" s="234"/>
    </row>
    <row r="2" spans="1:16" ht="14.65" customHeight="1">
      <c r="A2" s="235" t="s">
        <v>2020</v>
      </c>
      <c r="B2" s="235"/>
      <c r="C2" s="235"/>
      <c r="D2" s="236" t="str">
        <f>'Stavební rozpočet'!D2</f>
        <v>REALIZACE ÚSPOR ENERGIE AREÁL NPK, A.S., SPRÁVNÍ BUDOVA V LITOMYŠLI, REKUPERACE</v>
      </c>
      <c r="E2" s="236"/>
      <c r="F2" s="236"/>
      <c r="G2" s="237" t="s">
        <v>2018</v>
      </c>
      <c r="H2" s="237" t="str">
        <f>'Stavební rozpočet'!G2</f>
        <v xml:space="preserve"> </v>
      </c>
      <c r="I2" s="237" t="s">
        <v>2017</v>
      </c>
      <c r="J2" s="238" t="str">
        <f>'Stavební rozpočet'!I2</f>
        <v>Pardubický kraj, Komenského náměstí 125, Pardubice</v>
      </c>
      <c r="K2" s="238"/>
      <c r="L2" s="238"/>
      <c r="M2" s="130"/>
    </row>
    <row r="3" spans="1:16">
      <c r="A3" s="235"/>
      <c r="B3" s="235"/>
      <c r="C3" s="235"/>
      <c r="D3" s="236"/>
      <c r="E3" s="236"/>
      <c r="F3" s="236"/>
      <c r="G3" s="237"/>
      <c r="H3" s="237"/>
      <c r="I3" s="237"/>
      <c r="J3" s="237"/>
      <c r="K3" s="238"/>
      <c r="L3" s="238"/>
      <c r="M3" s="130"/>
    </row>
    <row r="4" spans="1:16" ht="14.65" customHeight="1">
      <c r="A4" s="239" t="s">
        <v>2015</v>
      </c>
      <c r="B4" s="239"/>
      <c r="C4" s="239"/>
      <c r="D4" s="233" t="str">
        <f>'Stavební rozpočet'!D4</f>
        <v xml:space="preserve"> </v>
      </c>
      <c r="E4" s="233"/>
      <c r="F4" s="233"/>
      <c r="G4" s="233" t="s">
        <v>2014</v>
      </c>
      <c r="H4" s="233" t="str">
        <f>'Stavební rozpočet'!G4</f>
        <v xml:space="preserve"> </v>
      </c>
      <c r="I4" s="233" t="s">
        <v>390</v>
      </c>
      <c r="J4" s="232" t="str">
        <f>'Stavební rozpočet'!I4</f>
        <v>KIP s.r.o. Litomyšl</v>
      </c>
      <c r="K4" s="232"/>
      <c r="L4" s="232"/>
      <c r="M4" s="130"/>
    </row>
    <row r="5" spans="1:16">
      <c r="A5" s="239"/>
      <c r="B5" s="239"/>
      <c r="C5" s="239"/>
      <c r="D5" s="233"/>
      <c r="E5" s="233"/>
      <c r="F5" s="233"/>
      <c r="G5" s="233"/>
      <c r="H5" s="233"/>
      <c r="I5" s="233"/>
      <c r="J5" s="233"/>
      <c r="K5" s="232"/>
      <c r="L5" s="232"/>
      <c r="M5" s="130"/>
    </row>
    <row r="6" spans="1:16" ht="14.65" customHeight="1">
      <c r="A6" s="239" t="s">
        <v>2012</v>
      </c>
      <c r="B6" s="239"/>
      <c r="C6" s="239"/>
      <c r="D6" s="233" t="str">
        <f>'Stavební rozpočet'!D6</f>
        <v>LITOMYŠL</v>
      </c>
      <c r="E6" s="233"/>
      <c r="F6" s="233"/>
      <c r="G6" s="233" t="s">
        <v>2010</v>
      </c>
      <c r="H6" s="233" t="str">
        <f>'Stavební rozpočet'!G6</f>
        <v xml:space="preserve"> </v>
      </c>
      <c r="I6" s="233" t="s">
        <v>2009</v>
      </c>
      <c r="J6" s="232" t="str">
        <f>'Stavební rozpočet'!I6</f>
        <v> </v>
      </c>
      <c r="K6" s="232"/>
      <c r="L6" s="232"/>
      <c r="M6" s="130"/>
    </row>
    <row r="7" spans="1:16">
      <c r="A7" s="239"/>
      <c r="B7" s="239"/>
      <c r="C7" s="239"/>
      <c r="D7" s="233"/>
      <c r="E7" s="233"/>
      <c r="F7" s="233"/>
      <c r="G7" s="233"/>
      <c r="H7" s="233"/>
      <c r="I7" s="233"/>
      <c r="J7" s="233"/>
      <c r="K7" s="232"/>
      <c r="L7" s="232"/>
      <c r="M7" s="130"/>
    </row>
    <row r="8" spans="1:16" ht="14.65" customHeight="1" thickBot="1">
      <c r="A8" s="242" t="s">
        <v>2007</v>
      </c>
      <c r="B8" s="242"/>
      <c r="C8" s="242"/>
      <c r="D8" s="241">
        <f>'Stavební rozpočet'!D8</f>
        <v>8011112</v>
      </c>
      <c r="E8" s="241"/>
      <c r="F8" s="241"/>
      <c r="G8" s="241" t="s">
        <v>2006</v>
      </c>
      <c r="H8" s="241" t="str">
        <f>'Stavební rozpočet'!G8</f>
        <v>08.08.2022</v>
      </c>
      <c r="I8" s="241" t="s">
        <v>2004</v>
      </c>
      <c r="J8" s="240" t="str">
        <f>'Stavební rozpočet'!I8</f>
        <v>MARTIN ČERNÝ,DIS.</v>
      </c>
      <c r="K8" s="240"/>
      <c r="L8" s="240"/>
      <c r="M8" s="130"/>
    </row>
    <row r="9" spans="1:16" ht="13.5" thickBot="1">
      <c r="A9" s="242"/>
      <c r="B9" s="242"/>
      <c r="C9" s="242"/>
      <c r="D9" s="241"/>
      <c r="E9" s="241"/>
      <c r="F9" s="241"/>
      <c r="G9" s="241"/>
      <c r="H9" s="241"/>
      <c r="I9" s="241"/>
      <c r="J9" s="241"/>
      <c r="K9" s="240"/>
      <c r="L9" s="240"/>
      <c r="M9" s="130"/>
    </row>
    <row r="10" spans="1:16">
      <c r="A10" s="185" t="s">
        <v>1305</v>
      </c>
      <c r="B10" s="245" t="s">
        <v>1305</v>
      </c>
      <c r="C10" s="245"/>
      <c r="D10" s="245"/>
      <c r="E10" s="245"/>
      <c r="F10" s="245"/>
      <c r="G10" s="245"/>
      <c r="H10" s="245"/>
      <c r="I10" s="245"/>
      <c r="J10" s="245"/>
      <c r="K10" s="245"/>
      <c r="L10" s="172" t="s">
        <v>1998</v>
      </c>
      <c r="M10" s="164"/>
    </row>
    <row r="11" spans="1:16" ht="13.5" thickBot="1">
      <c r="A11" s="184" t="s">
        <v>2001</v>
      </c>
      <c r="B11" s="246" t="s">
        <v>2000</v>
      </c>
      <c r="C11" s="246"/>
      <c r="D11" s="246"/>
      <c r="E11" s="246"/>
      <c r="F11" s="246"/>
      <c r="G11" s="246"/>
      <c r="H11" s="246"/>
      <c r="I11" s="246"/>
      <c r="J11" s="246"/>
      <c r="K11" s="246"/>
      <c r="L11" s="167" t="s">
        <v>1994</v>
      </c>
      <c r="M11" s="164"/>
    </row>
    <row r="12" spans="1:16">
      <c r="A12" s="183" t="s">
        <v>1339</v>
      </c>
      <c r="B12" s="247" t="s">
        <v>1980</v>
      </c>
      <c r="C12" s="247"/>
      <c r="D12" s="247"/>
      <c r="E12" s="247"/>
      <c r="F12" s="247"/>
      <c r="G12" s="247"/>
      <c r="H12" s="247"/>
      <c r="I12" s="247"/>
      <c r="J12" s="247"/>
      <c r="K12" s="247"/>
      <c r="L12" s="182">
        <f>'Stavební rozpočet'!M12</f>
        <v>0</v>
      </c>
      <c r="M12" s="180" t="s">
        <v>2023</v>
      </c>
      <c r="N12" s="137">
        <f>IF(M12="F",0,L12)</f>
        <v>0</v>
      </c>
      <c r="O12" s="141" t="s">
        <v>1339</v>
      </c>
      <c r="P12" s="137">
        <f>IF(M12="T",0,L12)</f>
        <v>0</v>
      </c>
    </row>
    <row r="13" spans="1:16">
      <c r="A13" s="142" t="s">
        <v>1329</v>
      </c>
      <c r="B13" s="243" t="s">
        <v>1333</v>
      </c>
      <c r="C13" s="243"/>
      <c r="D13" s="243"/>
      <c r="E13" s="243"/>
      <c r="F13" s="243"/>
      <c r="G13" s="243"/>
      <c r="H13" s="243"/>
      <c r="I13" s="243"/>
      <c r="J13" s="243"/>
      <c r="K13" s="243"/>
      <c r="L13" s="181">
        <f>'D.1.4.1 - SILNOPROUDÁ ELE...'!J30</f>
        <v>0</v>
      </c>
      <c r="M13" s="180" t="s">
        <v>2023</v>
      </c>
      <c r="N13" s="137">
        <f>IF(M13="F",0,L13)</f>
        <v>0</v>
      </c>
      <c r="O13" s="141" t="s">
        <v>1329</v>
      </c>
      <c r="P13" s="137">
        <f>IF(M13="T",0,L13)</f>
        <v>0</v>
      </c>
    </row>
    <row r="14" spans="1:16">
      <c r="A14" s="142" t="s">
        <v>1320</v>
      </c>
      <c r="B14" s="243" t="s">
        <v>1321</v>
      </c>
      <c r="C14" s="243"/>
      <c r="D14" s="243"/>
      <c r="E14" s="243"/>
      <c r="F14" s="243"/>
      <c r="G14" s="243"/>
      <c r="H14" s="243"/>
      <c r="I14" s="243"/>
      <c r="J14" s="243"/>
      <c r="K14" s="243"/>
      <c r="L14" s="181">
        <f>'D.1.4.2 - Zařízení pro vy...'!J30</f>
        <v>0</v>
      </c>
      <c r="M14" s="180" t="s">
        <v>2023</v>
      </c>
      <c r="N14" s="137">
        <f>IF(M14="F",0,L14)</f>
        <v>0</v>
      </c>
      <c r="O14" s="141" t="s">
        <v>1320</v>
      </c>
      <c r="P14" s="137">
        <f>IF(M14="T",0,L14)</f>
        <v>0</v>
      </c>
    </row>
    <row r="15" spans="1:16">
      <c r="A15" s="142" t="s">
        <v>1311</v>
      </c>
      <c r="B15" s="243" t="s">
        <v>1316</v>
      </c>
      <c r="C15" s="243"/>
      <c r="D15" s="243"/>
      <c r="E15" s="243"/>
      <c r="F15" s="243"/>
      <c r="G15" s="243"/>
      <c r="H15" s="243"/>
      <c r="I15" s="243"/>
      <c r="J15" s="243"/>
      <c r="K15" s="243"/>
      <c r="L15" s="181">
        <f>'D.1.4.3 - Zařízení vzduch...'!J30</f>
        <v>0</v>
      </c>
      <c r="M15" s="180" t="s">
        <v>2023</v>
      </c>
      <c r="N15" s="137">
        <f>IF(M15="F",0,L15)</f>
        <v>0</v>
      </c>
      <c r="O15" s="141" t="s">
        <v>1311</v>
      </c>
      <c r="P15" s="137">
        <f>IF(M15="T",0,L15)</f>
        <v>0</v>
      </c>
    </row>
    <row r="16" spans="1:16">
      <c r="A16" s="141" t="s">
        <v>1301</v>
      </c>
      <c r="B16" s="243" t="s">
        <v>1303</v>
      </c>
      <c r="C16" s="243"/>
      <c r="D16" s="243"/>
      <c r="E16" s="243"/>
      <c r="F16" s="243"/>
      <c r="G16" s="243"/>
      <c r="H16" s="243"/>
      <c r="I16" s="243"/>
      <c r="J16" s="243"/>
      <c r="K16" s="243"/>
      <c r="L16" s="196">
        <f>'D.1.4.4 - MĚŘENÍ A REGULACE'!J30</f>
        <v>0</v>
      </c>
      <c r="M16" s="137"/>
      <c r="N16" s="137"/>
      <c r="O16" s="141"/>
      <c r="P16" s="137"/>
    </row>
    <row r="17" spans="1:16">
      <c r="B17" s="243" t="s">
        <v>2040</v>
      </c>
      <c r="C17" s="243"/>
      <c r="D17" s="243"/>
      <c r="E17" s="243"/>
      <c r="F17" s="243"/>
      <c r="G17" s="243"/>
      <c r="H17" s="243"/>
      <c r="I17" s="243"/>
      <c r="J17" s="243"/>
      <c r="K17" s="243"/>
      <c r="L17" s="196">
        <f>vorn_sum</f>
        <v>0</v>
      </c>
      <c r="M17" s="137" t="s">
        <v>2023</v>
      </c>
      <c r="N17" s="137">
        <f>IF(M17="F",0,L16)</f>
        <v>0</v>
      </c>
      <c r="O17" s="141" t="s">
        <v>1301</v>
      </c>
      <c r="P17" s="137">
        <f>IF(M17="T",0,L16)</f>
        <v>0</v>
      </c>
    </row>
    <row r="18" spans="1:16">
      <c r="A18" s="128"/>
      <c r="B18" s="128"/>
      <c r="C18" s="128"/>
      <c r="D18" s="128"/>
      <c r="E18" s="128"/>
      <c r="F18" s="128"/>
      <c r="G18" s="128"/>
      <c r="H18" s="128"/>
      <c r="I18" s="128"/>
      <c r="J18" s="244" t="s">
        <v>2022</v>
      </c>
      <c r="K18" s="244"/>
      <c r="L18" s="129">
        <f>ROUND(SUM(P12:P17),0)</f>
        <v>0</v>
      </c>
    </row>
    <row r="19" spans="1:16" ht="11.25" customHeight="1">
      <c r="A19" s="127" t="s">
        <v>427</v>
      </c>
    </row>
    <row r="20" spans="1:16">
      <c r="A20" s="233"/>
      <c r="B20" s="233"/>
      <c r="C20" s="233"/>
      <c r="D20" s="233"/>
      <c r="E20" s="233"/>
      <c r="F20" s="233"/>
      <c r="G20" s="233"/>
      <c r="H20" s="233"/>
      <c r="I20" s="233"/>
      <c r="J20" s="233"/>
      <c r="K20" s="233"/>
      <c r="L20" s="233"/>
    </row>
  </sheetData>
  <sheetProtection algorithmName="SHA-512" hashValue="TNBX2NsHlKShWPHRI+bVBo8ajMXrISI/wgrILZ7HFp8JKzUt4xGXtViIuFAh0qnAaqmSrcOCoel1VxNxYFGUew==" saltValue="L53ndp36KMatLitNd9MfPQ==" spinCount="100000" sheet="1" selectLockedCells="1"/>
  <mergeCells count="35">
    <mergeCell ref="B16:K16"/>
    <mergeCell ref="J18:K18"/>
    <mergeCell ref="A20:L20"/>
    <mergeCell ref="B10:K10"/>
    <mergeCell ref="B11:K11"/>
    <mergeCell ref="B12:K12"/>
    <mergeCell ref="B13:K13"/>
    <mergeCell ref="B14:K14"/>
    <mergeCell ref="B15:K15"/>
    <mergeCell ref="B17:K17"/>
    <mergeCell ref="J8:L9"/>
    <mergeCell ref="A6:C7"/>
    <mergeCell ref="D6:F7"/>
    <mergeCell ref="G6:G7"/>
    <mergeCell ref="H6:H7"/>
    <mergeCell ref="I6:I7"/>
    <mergeCell ref="J6:L7"/>
    <mergeCell ref="A8:C9"/>
    <mergeCell ref="D8:F9"/>
    <mergeCell ref="G8:G9"/>
    <mergeCell ref="H8:H9"/>
    <mergeCell ref="I8:I9"/>
    <mergeCell ref="J4:L5"/>
    <mergeCell ref="A1:L1"/>
    <mergeCell ref="A2:C3"/>
    <mergeCell ref="D2:F3"/>
    <mergeCell ref="G2:G3"/>
    <mergeCell ref="H2:H3"/>
    <mergeCell ref="I2:I3"/>
    <mergeCell ref="J2:L3"/>
    <mergeCell ref="A4:C5"/>
    <mergeCell ref="D4:F5"/>
    <mergeCell ref="G4:G5"/>
    <mergeCell ref="H4:H5"/>
    <mergeCell ref="I4:I5"/>
  </mergeCells>
  <pageMargins left="0.39374999999999999" right="0.39374999999999999" top="0.59097222222222223" bottom="0.59097222222222223" header="0.51180555555555551" footer="0.51180555555555551"/>
  <pageSetup paperSize="9" firstPageNumber="0"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79686-5DAC-4323-B319-6CCA86DD7BC3}">
  <sheetPr>
    <pageSetUpPr fitToPage="1"/>
  </sheetPr>
  <dimension ref="A1:IV521"/>
  <sheetViews>
    <sheetView workbookViewId="0">
      <pane ySplit="11" topLeftCell="A477" activePane="bottomLeft" state="frozen"/>
      <selection pane="bottomLeft" activeCell="Q488" sqref="Q488"/>
    </sheetView>
  </sheetViews>
  <sheetFormatPr defaultColWidth="11.5703125" defaultRowHeight="12.75"/>
  <cols>
    <col min="1" max="1" width="3.7109375" style="126" customWidth="1"/>
    <col min="2" max="2" width="7.5703125" style="126" customWidth="1"/>
    <col min="3" max="3" width="14.28515625" style="126" customWidth="1"/>
    <col min="4" max="4" width="75.28515625" style="126" customWidth="1"/>
    <col min="5" max="5" width="9.140625" style="126" customWidth="1"/>
    <col min="6" max="9" width="11.5703125" style="126"/>
    <col min="10" max="10" width="4.28515625" style="126" customWidth="1"/>
    <col min="11" max="11" width="12.85546875" style="126" customWidth="1"/>
    <col min="12" max="12" width="12" style="126" customWidth="1"/>
    <col min="13" max="13" width="14.28515625" style="126" customWidth="1"/>
    <col min="14" max="14" width="11.7109375" style="126" customWidth="1"/>
    <col min="15" max="15" width="13.42578125" style="126" customWidth="1"/>
    <col min="16" max="24" width="11.5703125" style="126"/>
    <col min="25" max="64" width="12.140625" style="126" hidden="1" customWidth="1"/>
    <col min="65" max="16384" width="11.5703125" style="126"/>
  </cols>
  <sheetData>
    <row r="1" spans="1:256" ht="55.9" customHeight="1">
      <c r="A1" s="234" t="s">
        <v>2021</v>
      </c>
      <c r="B1" s="234"/>
      <c r="C1" s="234"/>
      <c r="D1" s="234"/>
      <c r="E1" s="234"/>
      <c r="F1" s="234"/>
      <c r="G1" s="234"/>
      <c r="H1" s="234"/>
      <c r="I1" s="234"/>
      <c r="J1" s="234"/>
      <c r="K1" s="234"/>
      <c r="L1" s="234"/>
      <c r="M1" s="234"/>
      <c r="N1" s="234"/>
      <c r="O1" s="234"/>
    </row>
    <row r="2" spans="1:256" ht="14.65" customHeight="1">
      <c r="A2" s="235" t="s">
        <v>2020</v>
      </c>
      <c r="B2" s="235"/>
      <c r="C2" s="235"/>
      <c r="D2" s="236" t="s">
        <v>2019</v>
      </c>
      <c r="E2" s="248" t="s">
        <v>2018</v>
      </c>
      <c r="F2" s="248"/>
      <c r="G2" s="248" t="s">
        <v>1305</v>
      </c>
      <c r="H2" s="237" t="s">
        <v>2017</v>
      </c>
      <c r="I2" s="238" t="s">
        <v>2016</v>
      </c>
      <c r="J2" s="238"/>
      <c r="K2" s="238"/>
      <c r="L2" s="238"/>
      <c r="M2" s="238"/>
      <c r="N2" s="238"/>
      <c r="O2" s="238"/>
      <c r="P2" s="130"/>
    </row>
    <row r="3" spans="1:256">
      <c r="A3" s="235"/>
      <c r="B3" s="235"/>
      <c r="C3" s="235"/>
      <c r="D3" s="236"/>
      <c r="E3" s="248"/>
      <c r="F3" s="248"/>
      <c r="G3" s="248"/>
      <c r="H3" s="248"/>
      <c r="I3" s="248"/>
      <c r="J3" s="238"/>
      <c r="K3" s="238"/>
      <c r="L3" s="238"/>
      <c r="M3" s="238"/>
      <c r="N3" s="238"/>
      <c r="O3" s="238"/>
      <c r="P3" s="130"/>
    </row>
    <row r="4" spans="1:256" ht="14.65" customHeight="1">
      <c r="A4" s="239" t="s">
        <v>2015</v>
      </c>
      <c r="B4" s="239"/>
      <c r="C4" s="239"/>
      <c r="D4" s="233" t="s">
        <v>1305</v>
      </c>
      <c r="E4" s="243" t="s">
        <v>2014</v>
      </c>
      <c r="F4" s="243"/>
      <c r="G4" s="243" t="s">
        <v>1305</v>
      </c>
      <c r="H4" s="233" t="s">
        <v>390</v>
      </c>
      <c r="I4" s="232" t="s">
        <v>2013</v>
      </c>
      <c r="J4" s="232"/>
      <c r="K4" s="232"/>
      <c r="L4" s="232"/>
      <c r="M4" s="232"/>
      <c r="N4" s="232"/>
      <c r="O4" s="232"/>
      <c r="P4" s="130"/>
    </row>
    <row r="5" spans="1:256">
      <c r="A5" s="239"/>
      <c r="B5" s="239"/>
      <c r="C5" s="239"/>
      <c r="D5" s="233"/>
      <c r="E5" s="233"/>
      <c r="F5" s="243"/>
      <c r="G5" s="243"/>
      <c r="H5" s="243"/>
      <c r="I5" s="243"/>
      <c r="J5" s="232"/>
      <c r="K5" s="232"/>
      <c r="L5" s="232"/>
      <c r="M5" s="232"/>
      <c r="N5" s="232"/>
      <c r="O5" s="232"/>
      <c r="P5" s="130"/>
    </row>
    <row r="6" spans="1:256" ht="14.65" customHeight="1">
      <c r="A6" s="239" t="s">
        <v>2012</v>
      </c>
      <c r="B6" s="239"/>
      <c r="C6" s="239"/>
      <c r="D6" s="233" t="s">
        <v>2011</v>
      </c>
      <c r="E6" s="243" t="s">
        <v>2010</v>
      </c>
      <c r="F6" s="243"/>
      <c r="G6" s="243" t="s">
        <v>1305</v>
      </c>
      <c r="H6" s="233" t="s">
        <v>2009</v>
      </c>
      <c r="I6" s="250" t="s">
        <v>2008</v>
      </c>
      <c r="J6" s="250"/>
      <c r="K6" s="250"/>
      <c r="L6" s="250"/>
      <c r="M6" s="250"/>
      <c r="N6" s="250"/>
      <c r="O6" s="250"/>
      <c r="P6" s="130"/>
    </row>
    <row r="7" spans="1:256">
      <c r="A7" s="239"/>
      <c r="B7" s="239"/>
      <c r="C7" s="239"/>
      <c r="D7" s="233"/>
      <c r="E7" s="233"/>
      <c r="F7" s="243"/>
      <c r="G7" s="243"/>
      <c r="H7" s="243"/>
      <c r="I7" s="243"/>
      <c r="J7" s="250"/>
      <c r="K7" s="250"/>
      <c r="L7" s="250"/>
      <c r="M7" s="250"/>
      <c r="N7" s="250"/>
      <c r="O7" s="250"/>
      <c r="P7" s="130"/>
    </row>
    <row r="8" spans="1:256" ht="14.65" customHeight="1" thickBot="1">
      <c r="A8" s="242" t="s">
        <v>2007</v>
      </c>
      <c r="B8" s="242"/>
      <c r="C8" s="242"/>
      <c r="D8" s="241">
        <v>8011112</v>
      </c>
      <c r="E8" s="249" t="s">
        <v>2006</v>
      </c>
      <c r="F8" s="249"/>
      <c r="G8" s="249" t="s">
        <v>2005</v>
      </c>
      <c r="H8" s="241" t="s">
        <v>2004</v>
      </c>
      <c r="I8" s="240" t="s">
        <v>2003</v>
      </c>
      <c r="J8" s="240"/>
      <c r="K8" s="240"/>
      <c r="L8" s="240"/>
      <c r="M8" s="240"/>
      <c r="N8" s="240"/>
      <c r="O8" s="240"/>
      <c r="P8" s="130"/>
    </row>
    <row r="9" spans="1:256" ht="13.5" thickBot="1">
      <c r="A9" s="242"/>
      <c r="B9" s="242"/>
      <c r="C9" s="242"/>
      <c r="D9" s="241"/>
      <c r="E9" s="241"/>
      <c r="F9" s="249"/>
      <c r="G9" s="249"/>
      <c r="H9" s="249"/>
      <c r="I9" s="249"/>
      <c r="J9" s="240"/>
      <c r="K9" s="240"/>
      <c r="L9" s="240"/>
      <c r="M9" s="240"/>
      <c r="N9" s="240"/>
      <c r="O9" s="240"/>
      <c r="P9" s="130"/>
    </row>
    <row r="10" spans="1:256" s="171" customFormat="1">
      <c r="A10" s="179" t="s">
        <v>2002</v>
      </c>
      <c r="B10" s="175" t="s">
        <v>2001</v>
      </c>
      <c r="C10" s="175" t="s">
        <v>385</v>
      </c>
      <c r="D10" s="178" t="s">
        <v>2000</v>
      </c>
      <c r="E10" s="177"/>
      <c r="F10" s="177"/>
      <c r="G10" s="177"/>
      <c r="H10" s="177"/>
      <c r="I10" s="176"/>
      <c r="J10" s="175" t="s">
        <v>383</v>
      </c>
      <c r="K10" s="174" t="s">
        <v>382</v>
      </c>
      <c r="L10" s="173" t="s">
        <v>1999</v>
      </c>
      <c r="M10" s="172" t="s">
        <v>1998</v>
      </c>
      <c r="N10" s="253" t="s">
        <v>1997</v>
      </c>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253"/>
      <c r="BH10" s="253"/>
      <c r="BI10" s="253"/>
      <c r="BJ10" s="253"/>
      <c r="BK10" s="253"/>
      <c r="BL10" s="253"/>
      <c r="BM10" s="253"/>
      <c r="BN10" s="253"/>
      <c r="BO10" s="253"/>
      <c r="BP10" s="253"/>
      <c r="BQ10" s="253"/>
      <c r="BR10" s="253"/>
      <c r="BS10" s="253"/>
      <c r="BT10" s="253"/>
      <c r="BU10" s="253"/>
      <c r="BV10" s="253"/>
      <c r="BW10" s="253"/>
      <c r="BX10" s="253"/>
      <c r="BY10" s="253"/>
      <c r="BZ10" s="253"/>
      <c r="CA10" s="253"/>
      <c r="CB10" s="253"/>
      <c r="CC10" s="253"/>
      <c r="CD10" s="253"/>
      <c r="CE10" s="253"/>
      <c r="CF10" s="253"/>
      <c r="CG10" s="253"/>
      <c r="CH10" s="253"/>
      <c r="CI10" s="253"/>
      <c r="CJ10" s="253"/>
      <c r="CK10" s="253"/>
      <c r="CL10" s="253"/>
      <c r="CM10" s="253"/>
      <c r="CN10" s="253"/>
      <c r="CO10" s="253"/>
      <c r="CP10" s="253"/>
      <c r="CQ10" s="253"/>
      <c r="CR10" s="253"/>
      <c r="CS10" s="253"/>
      <c r="CT10" s="253"/>
      <c r="CU10" s="253"/>
      <c r="CV10" s="253"/>
      <c r="CW10" s="253"/>
      <c r="CX10" s="253"/>
      <c r="CY10" s="253"/>
      <c r="CZ10" s="253"/>
      <c r="DA10" s="253"/>
      <c r="DB10" s="253"/>
      <c r="DC10" s="253"/>
      <c r="DD10" s="253"/>
      <c r="DE10" s="253"/>
      <c r="DF10" s="253"/>
      <c r="DG10" s="253"/>
      <c r="DH10" s="253"/>
      <c r="DI10" s="253"/>
      <c r="DJ10" s="253"/>
      <c r="DK10" s="253"/>
      <c r="DL10" s="253"/>
      <c r="DM10" s="253"/>
      <c r="DN10" s="253"/>
      <c r="DO10" s="253"/>
      <c r="DP10" s="253"/>
      <c r="DQ10" s="253"/>
      <c r="DR10" s="253"/>
      <c r="DS10" s="253"/>
      <c r="DT10" s="253"/>
      <c r="DU10" s="253"/>
      <c r="DV10" s="253"/>
      <c r="DW10" s="253"/>
      <c r="DX10" s="253"/>
      <c r="DY10" s="253"/>
      <c r="DZ10" s="253"/>
      <c r="EA10" s="253"/>
      <c r="EB10" s="253"/>
      <c r="EC10" s="253"/>
      <c r="ED10" s="253"/>
      <c r="EE10" s="253"/>
      <c r="EF10" s="253"/>
      <c r="EG10" s="253"/>
      <c r="EH10" s="253"/>
      <c r="EI10" s="253"/>
      <c r="EJ10" s="253"/>
      <c r="EK10" s="253"/>
      <c r="EL10" s="253"/>
      <c r="EM10" s="253"/>
      <c r="EN10" s="253"/>
      <c r="EO10" s="253"/>
      <c r="EP10" s="253"/>
      <c r="EQ10" s="253"/>
      <c r="ER10" s="253"/>
      <c r="ES10" s="253"/>
      <c r="ET10" s="253"/>
      <c r="EU10" s="253"/>
      <c r="EV10" s="253"/>
      <c r="EW10" s="253"/>
      <c r="EX10" s="253"/>
      <c r="EY10" s="253"/>
      <c r="EZ10" s="253"/>
      <c r="FA10" s="253"/>
      <c r="FB10" s="253"/>
      <c r="FC10" s="253"/>
      <c r="FD10" s="253"/>
      <c r="FE10" s="253"/>
      <c r="FF10" s="253"/>
      <c r="FG10" s="253"/>
      <c r="FH10" s="253"/>
      <c r="FI10" s="253"/>
      <c r="FJ10" s="253"/>
      <c r="FK10" s="253"/>
      <c r="FL10" s="253"/>
      <c r="FM10" s="253"/>
      <c r="FN10" s="253"/>
      <c r="FO10" s="253"/>
      <c r="FP10" s="253"/>
      <c r="FQ10" s="253"/>
      <c r="FR10" s="253"/>
      <c r="FS10" s="253"/>
      <c r="FT10" s="253"/>
      <c r="FU10" s="253"/>
      <c r="FV10" s="253"/>
      <c r="FW10" s="253"/>
      <c r="FX10" s="253"/>
      <c r="FY10" s="253"/>
      <c r="FZ10" s="253"/>
      <c r="GA10" s="253"/>
      <c r="GB10" s="253"/>
      <c r="GC10" s="253"/>
      <c r="GD10" s="253"/>
      <c r="GE10" s="253"/>
      <c r="GF10" s="253"/>
      <c r="GG10" s="253"/>
      <c r="GH10" s="253"/>
      <c r="GI10" s="253"/>
      <c r="GJ10" s="253"/>
      <c r="GK10" s="253"/>
      <c r="GL10" s="253"/>
      <c r="GM10" s="253"/>
      <c r="GN10" s="253"/>
      <c r="GO10" s="253"/>
      <c r="GP10" s="253"/>
      <c r="GQ10" s="253"/>
      <c r="GR10" s="253"/>
      <c r="GS10" s="253"/>
      <c r="GT10" s="253"/>
      <c r="GU10" s="253"/>
      <c r="GV10" s="253"/>
      <c r="GW10" s="253"/>
      <c r="GX10" s="253"/>
      <c r="GY10" s="253"/>
      <c r="GZ10" s="253"/>
      <c r="HA10" s="253"/>
      <c r="HB10" s="253"/>
      <c r="HC10" s="253"/>
      <c r="HD10" s="253"/>
      <c r="HE10" s="253"/>
      <c r="HF10" s="253"/>
      <c r="HG10" s="253"/>
      <c r="HH10" s="253"/>
      <c r="HI10" s="253"/>
      <c r="HJ10" s="253"/>
      <c r="HK10" s="253"/>
      <c r="HL10" s="253"/>
      <c r="HM10" s="253"/>
      <c r="HN10" s="253"/>
      <c r="HO10" s="253"/>
      <c r="HP10" s="253"/>
      <c r="HQ10" s="253"/>
      <c r="HR10" s="253"/>
      <c r="HS10" s="253"/>
      <c r="HT10" s="253"/>
      <c r="HU10" s="253"/>
      <c r="HV10" s="253"/>
      <c r="HW10" s="253"/>
      <c r="HX10" s="253"/>
      <c r="HY10" s="253"/>
      <c r="HZ10" s="253"/>
      <c r="IA10" s="253"/>
      <c r="IB10" s="253"/>
      <c r="IC10" s="253"/>
      <c r="ID10" s="253"/>
      <c r="IE10" s="253"/>
      <c r="IF10" s="253"/>
      <c r="IG10" s="253"/>
      <c r="IH10" s="253"/>
      <c r="II10" s="253"/>
      <c r="IJ10" s="253"/>
      <c r="IK10" s="253"/>
      <c r="IL10" s="253"/>
      <c r="IM10" s="253"/>
      <c r="IN10" s="253"/>
      <c r="IO10" s="253"/>
      <c r="IP10" s="253"/>
      <c r="IQ10" s="253"/>
      <c r="IR10" s="253"/>
      <c r="IS10" s="253"/>
      <c r="IT10" s="253"/>
      <c r="IU10" s="253"/>
      <c r="IV10" s="253"/>
    </row>
    <row r="11" spans="1:256" ht="13.5" thickBot="1">
      <c r="A11" s="170" t="s">
        <v>1305</v>
      </c>
      <c r="B11" s="169" t="s">
        <v>1305</v>
      </c>
      <c r="C11" s="169" t="s">
        <v>1305</v>
      </c>
      <c r="D11" s="246" t="s">
        <v>1996</v>
      </c>
      <c r="E11" s="246"/>
      <c r="F11" s="246"/>
      <c r="G11" s="246"/>
      <c r="H11" s="246"/>
      <c r="I11" s="246"/>
      <c r="J11" s="169" t="s">
        <v>1305</v>
      </c>
      <c r="K11" s="169" t="s">
        <v>1305</v>
      </c>
      <c r="L11" s="168" t="s">
        <v>1995</v>
      </c>
      <c r="M11" s="167" t="s">
        <v>1994</v>
      </c>
      <c r="N11" s="166" t="s">
        <v>1993</v>
      </c>
      <c r="O11" s="165" t="s">
        <v>379</v>
      </c>
      <c r="P11" s="164"/>
      <c r="Z11" s="138" t="s">
        <v>1992</v>
      </c>
      <c r="AA11" s="138" t="s">
        <v>1991</v>
      </c>
      <c r="AB11" s="138" t="s">
        <v>1990</v>
      </c>
      <c r="AC11" s="138" t="s">
        <v>1989</v>
      </c>
      <c r="AD11" s="138" t="s">
        <v>1988</v>
      </c>
      <c r="AE11" s="138" t="s">
        <v>1987</v>
      </c>
      <c r="AF11" s="138" t="s">
        <v>1986</v>
      </c>
      <c r="AG11" s="138" t="s">
        <v>1985</v>
      </c>
      <c r="AH11" s="138" t="s">
        <v>1984</v>
      </c>
      <c r="BH11" s="138" t="s">
        <v>1983</v>
      </c>
      <c r="BI11" s="138" t="s">
        <v>1982</v>
      </c>
      <c r="BJ11" s="138" t="s">
        <v>1981</v>
      </c>
    </row>
    <row r="12" spans="1:256">
      <c r="A12" s="163"/>
      <c r="B12" s="162" t="s">
        <v>1339</v>
      </c>
      <c r="C12" s="162"/>
      <c r="D12" s="254" t="s">
        <v>1980</v>
      </c>
      <c r="E12" s="254"/>
      <c r="F12" s="254"/>
      <c r="G12" s="254"/>
      <c r="H12" s="254"/>
      <c r="I12" s="254"/>
      <c r="J12" s="161" t="s">
        <v>1305</v>
      </c>
      <c r="K12" s="161" t="s">
        <v>1305</v>
      </c>
      <c r="L12" s="161" t="s">
        <v>1305</v>
      </c>
      <c r="M12" s="160">
        <f>M13+M19+M24+M28+M31+M37+M50+M55+M109+M134+M147+M150+M159+M165+M173+M198+M219+M224+M254+M270+M273+M309+M337+M357+M378+M408+M418+M432+M460+M484+M486</f>
        <v>0</v>
      </c>
      <c r="N12" s="159"/>
      <c r="O12" s="158"/>
      <c r="P12" s="130"/>
    </row>
    <row r="13" spans="1:256">
      <c r="A13" s="147"/>
      <c r="B13" s="146" t="s">
        <v>1339</v>
      </c>
      <c r="C13" s="146" t="s">
        <v>336</v>
      </c>
      <c r="D13" s="252" t="s">
        <v>1979</v>
      </c>
      <c r="E13" s="252"/>
      <c r="F13" s="252"/>
      <c r="G13" s="252"/>
      <c r="H13" s="252"/>
      <c r="I13" s="252"/>
      <c r="J13" s="145" t="s">
        <v>1305</v>
      </c>
      <c r="K13" s="145" t="s">
        <v>1305</v>
      </c>
      <c r="L13" s="145" t="s">
        <v>1305</v>
      </c>
      <c r="M13" s="143">
        <f>SUM(M14:M16)</f>
        <v>0</v>
      </c>
      <c r="N13" s="138"/>
      <c r="O13" s="144"/>
      <c r="P13" s="130"/>
      <c r="AI13" s="138" t="s">
        <v>1339</v>
      </c>
      <c r="AS13" s="143">
        <f>SUM(AJ14:AJ16)</f>
        <v>0</v>
      </c>
      <c r="AT13" s="143">
        <f>SUM(AK14:AK16)</f>
        <v>0</v>
      </c>
      <c r="AU13" s="143">
        <f>SUM(AL14:AL16)</f>
        <v>0</v>
      </c>
    </row>
    <row r="14" spans="1:256">
      <c r="A14" s="142" t="s">
        <v>2</v>
      </c>
      <c r="B14" s="141" t="s">
        <v>1339</v>
      </c>
      <c r="C14" s="141" t="s">
        <v>1978</v>
      </c>
      <c r="D14" s="243" t="s">
        <v>1977</v>
      </c>
      <c r="E14" s="243"/>
      <c r="F14" s="243"/>
      <c r="G14" s="243"/>
      <c r="H14" s="243"/>
      <c r="I14" s="243"/>
      <c r="J14" s="141" t="s">
        <v>1261</v>
      </c>
      <c r="K14" s="137">
        <v>0.49590000000000001</v>
      </c>
      <c r="L14" s="203">
        <v>0</v>
      </c>
      <c r="M14" s="137">
        <f>K14*L14</f>
        <v>0</v>
      </c>
      <c r="N14" s="137">
        <v>0</v>
      </c>
      <c r="O14" s="140" t="s">
        <v>1340</v>
      </c>
      <c r="P14" s="130"/>
      <c r="Z14" s="137">
        <f>IF(AQ14="5",BJ14,0)</f>
        <v>0</v>
      </c>
      <c r="AB14" s="137">
        <f>IF(AQ14="1",BH14,0)</f>
        <v>0</v>
      </c>
      <c r="AC14" s="137">
        <f>IF(AQ14="1",BI14,0)</f>
        <v>0</v>
      </c>
      <c r="AD14" s="137">
        <f>IF(AQ14="7",BH14,0)</f>
        <v>0</v>
      </c>
      <c r="AE14" s="137">
        <f>IF(AQ14="7",BI14,0)</f>
        <v>0</v>
      </c>
      <c r="AF14" s="137">
        <f>IF(AQ14="2",BH14,0)</f>
        <v>0</v>
      </c>
      <c r="AG14" s="137">
        <f>IF(AQ14="2",BI14,0)</f>
        <v>0</v>
      </c>
      <c r="AH14" s="137">
        <f>IF(AQ14="0",BJ14,0)</f>
        <v>0</v>
      </c>
      <c r="AI14" s="138" t="s">
        <v>1339</v>
      </c>
      <c r="AJ14" s="137">
        <f>IF(AN14=0,M14,0)</f>
        <v>0</v>
      </c>
      <c r="AK14" s="137">
        <f>IF(AN14=15,M14,0)</f>
        <v>0</v>
      </c>
      <c r="AL14" s="137">
        <f>IF(AN14=21,M14,0)</f>
        <v>0</v>
      </c>
      <c r="AN14" s="137">
        <v>21</v>
      </c>
      <c r="AO14" s="137">
        <f>L14*0</f>
        <v>0</v>
      </c>
      <c r="AP14" s="137">
        <f>L14*(1-0)</f>
        <v>0</v>
      </c>
      <c r="AQ14" s="139" t="s">
        <v>2</v>
      </c>
      <c r="AV14" s="137">
        <f>AW14+AX14</f>
        <v>0</v>
      </c>
      <c r="AW14" s="137">
        <f>K14*AO14</f>
        <v>0</v>
      </c>
      <c r="AX14" s="137">
        <f>K14*AP14</f>
        <v>0</v>
      </c>
      <c r="AY14" s="139" t="s">
        <v>1973</v>
      </c>
      <c r="AZ14" s="139" t="s">
        <v>1952</v>
      </c>
      <c r="BA14" s="138" t="s">
        <v>1336</v>
      </c>
      <c r="BC14" s="137">
        <f>AW14+AX14</f>
        <v>0</v>
      </c>
      <c r="BD14" s="137">
        <f>L14/(100-BE14)*100</f>
        <v>0</v>
      </c>
      <c r="BE14" s="137">
        <v>0</v>
      </c>
      <c r="BF14" s="137">
        <f>14</f>
        <v>14</v>
      </c>
      <c r="BH14" s="137">
        <f>K14*AO14</f>
        <v>0</v>
      </c>
      <c r="BI14" s="137">
        <f>K14*AP14</f>
        <v>0</v>
      </c>
      <c r="BJ14" s="137">
        <f>K14*L14</f>
        <v>0</v>
      </c>
      <c r="BK14" s="137" t="s">
        <v>442</v>
      </c>
      <c r="BL14" s="137">
        <v>13</v>
      </c>
    </row>
    <row r="15" spans="1:256">
      <c r="A15" s="130"/>
      <c r="D15" s="157" t="s">
        <v>1976</v>
      </c>
      <c r="I15" s="156"/>
      <c r="K15" s="155">
        <v>0.49590000000000001</v>
      </c>
      <c r="O15" s="154"/>
      <c r="P15" s="130"/>
    </row>
    <row r="16" spans="1:256">
      <c r="A16" s="142" t="s">
        <v>365</v>
      </c>
      <c r="B16" s="141" t="s">
        <v>1339</v>
      </c>
      <c r="C16" s="141" t="s">
        <v>1975</v>
      </c>
      <c r="D16" s="243" t="s">
        <v>1974</v>
      </c>
      <c r="E16" s="243"/>
      <c r="F16" s="243"/>
      <c r="G16" s="243"/>
      <c r="H16" s="243"/>
      <c r="I16" s="243"/>
      <c r="J16" s="141" t="s">
        <v>1261</v>
      </c>
      <c r="K16" s="137">
        <v>1.08</v>
      </c>
      <c r="L16" s="203">
        <v>0</v>
      </c>
      <c r="M16" s="137">
        <f>K16*L16</f>
        <v>0</v>
      </c>
      <c r="N16" s="137">
        <v>0</v>
      </c>
      <c r="O16" s="140" t="s">
        <v>1340</v>
      </c>
      <c r="P16" s="130"/>
      <c r="Z16" s="137">
        <f>IF(AQ16="5",BJ16,0)</f>
        <v>0</v>
      </c>
      <c r="AB16" s="137">
        <f>IF(AQ16="1",BH16,0)</f>
        <v>0</v>
      </c>
      <c r="AC16" s="137">
        <f>IF(AQ16="1",BI16,0)</f>
        <v>0</v>
      </c>
      <c r="AD16" s="137">
        <f>IF(AQ16="7",BH16,0)</f>
        <v>0</v>
      </c>
      <c r="AE16" s="137">
        <f>IF(AQ16="7",BI16,0)</f>
        <v>0</v>
      </c>
      <c r="AF16" s="137">
        <f>IF(AQ16="2",BH16,0)</f>
        <v>0</v>
      </c>
      <c r="AG16" s="137">
        <f>IF(AQ16="2",BI16,0)</f>
        <v>0</v>
      </c>
      <c r="AH16" s="137">
        <f>IF(AQ16="0",BJ16,0)</f>
        <v>0</v>
      </c>
      <c r="AI16" s="138" t="s">
        <v>1339</v>
      </c>
      <c r="AJ16" s="137">
        <f>IF(AN16=0,M16,0)</f>
        <v>0</v>
      </c>
      <c r="AK16" s="137">
        <f>IF(AN16=15,M16,0)</f>
        <v>0</v>
      </c>
      <c r="AL16" s="137">
        <f>IF(AN16=21,M16,0)</f>
        <v>0</v>
      </c>
      <c r="AN16" s="137">
        <v>21</v>
      </c>
      <c r="AO16" s="137">
        <f>L16*0</f>
        <v>0</v>
      </c>
      <c r="AP16" s="137">
        <f>L16*(1-0)</f>
        <v>0</v>
      </c>
      <c r="AQ16" s="139" t="s">
        <v>2</v>
      </c>
      <c r="AV16" s="137">
        <f>AW16+AX16</f>
        <v>0</v>
      </c>
      <c r="AW16" s="137">
        <f>K16*AO16</f>
        <v>0</v>
      </c>
      <c r="AX16" s="137">
        <f>K16*AP16</f>
        <v>0</v>
      </c>
      <c r="AY16" s="139" t="s">
        <v>1973</v>
      </c>
      <c r="AZ16" s="139" t="s">
        <v>1952</v>
      </c>
      <c r="BA16" s="138" t="s">
        <v>1336</v>
      </c>
      <c r="BC16" s="137">
        <f>AW16+AX16</f>
        <v>0</v>
      </c>
      <c r="BD16" s="137">
        <f>L16/(100-BE16)*100</f>
        <v>0</v>
      </c>
      <c r="BE16" s="137">
        <v>0</v>
      </c>
      <c r="BF16" s="137">
        <f>16</f>
        <v>16</v>
      </c>
      <c r="BH16" s="137">
        <f>K16*AO16</f>
        <v>0</v>
      </c>
      <c r="BI16" s="137">
        <f>K16*AP16</f>
        <v>0</v>
      </c>
      <c r="BJ16" s="137">
        <f>K16*L16</f>
        <v>0</v>
      </c>
      <c r="BK16" s="137" t="s">
        <v>442</v>
      </c>
      <c r="BL16" s="137">
        <v>13</v>
      </c>
    </row>
    <row r="17" spans="1:64" ht="14.65" customHeight="1">
      <c r="A17" s="130"/>
      <c r="D17" s="251" t="s">
        <v>1972</v>
      </c>
      <c r="E17" s="251"/>
      <c r="F17" s="251"/>
      <c r="G17" s="251"/>
      <c r="H17" s="251"/>
      <c r="I17" s="251"/>
      <c r="J17" s="251"/>
      <c r="K17" s="251"/>
      <c r="L17" s="251"/>
      <c r="M17" s="251"/>
      <c r="N17" s="251"/>
      <c r="O17" s="251"/>
      <c r="P17" s="130"/>
    </row>
    <row r="18" spans="1:64">
      <c r="A18" s="130"/>
      <c r="D18" s="157" t="s">
        <v>1971</v>
      </c>
      <c r="I18" s="156"/>
      <c r="K18" s="155">
        <v>1.08</v>
      </c>
      <c r="O18" s="154"/>
      <c r="P18" s="130"/>
    </row>
    <row r="19" spans="1:64">
      <c r="A19" s="147"/>
      <c r="B19" s="146" t="s">
        <v>1339</v>
      </c>
      <c r="C19" s="146" t="s">
        <v>328</v>
      </c>
      <c r="D19" s="252" t="s">
        <v>1970</v>
      </c>
      <c r="E19" s="252"/>
      <c r="F19" s="252"/>
      <c r="G19" s="252"/>
      <c r="H19" s="252"/>
      <c r="I19" s="252"/>
      <c r="J19" s="145" t="s">
        <v>1305</v>
      </c>
      <c r="K19" s="145" t="s">
        <v>1305</v>
      </c>
      <c r="L19" s="145" t="s">
        <v>1305</v>
      </c>
      <c r="M19" s="143">
        <f>SUM(M20:M22)</f>
        <v>0</v>
      </c>
      <c r="N19" s="138"/>
      <c r="O19" s="144"/>
      <c r="P19" s="130"/>
      <c r="AI19" s="138" t="s">
        <v>1339</v>
      </c>
      <c r="AS19" s="143">
        <f>SUM(AJ20:AJ22)</f>
        <v>0</v>
      </c>
      <c r="AT19" s="143">
        <f>SUM(AK20:AK22)</f>
        <v>0</v>
      </c>
      <c r="AU19" s="143">
        <f>SUM(AL20:AL22)</f>
        <v>0</v>
      </c>
    </row>
    <row r="20" spans="1:64">
      <c r="A20" s="142" t="s">
        <v>362</v>
      </c>
      <c r="B20" s="141" t="s">
        <v>1339</v>
      </c>
      <c r="C20" s="141" t="s">
        <v>1969</v>
      </c>
      <c r="D20" s="243" t="s">
        <v>1968</v>
      </c>
      <c r="E20" s="243"/>
      <c r="F20" s="243"/>
      <c r="G20" s="243"/>
      <c r="H20" s="243"/>
      <c r="I20" s="243"/>
      <c r="J20" s="141" t="s">
        <v>1261</v>
      </c>
      <c r="K20" s="137">
        <v>1.57</v>
      </c>
      <c r="L20" s="203">
        <v>0</v>
      </c>
      <c r="M20" s="137">
        <f>K20*L20</f>
        <v>0</v>
      </c>
      <c r="N20" s="137">
        <v>0</v>
      </c>
      <c r="O20" s="140" t="s">
        <v>1340</v>
      </c>
      <c r="P20" s="130"/>
      <c r="Z20" s="137">
        <f>IF(AQ20="5",BJ20,0)</f>
        <v>0</v>
      </c>
      <c r="AB20" s="137">
        <f>IF(AQ20="1",BH20,0)</f>
        <v>0</v>
      </c>
      <c r="AC20" s="137">
        <f>IF(AQ20="1",BI20,0)</f>
        <v>0</v>
      </c>
      <c r="AD20" s="137">
        <f>IF(AQ20="7",BH20,0)</f>
        <v>0</v>
      </c>
      <c r="AE20" s="137">
        <f>IF(AQ20="7",BI20,0)</f>
        <v>0</v>
      </c>
      <c r="AF20" s="137">
        <f>IF(AQ20="2",BH20,0)</f>
        <v>0</v>
      </c>
      <c r="AG20" s="137">
        <f>IF(AQ20="2",BI20,0)</f>
        <v>0</v>
      </c>
      <c r="AH20" s="137">
        <f>IF(AQ20="0",BJ20,0)</f>
        <v>0</v>
      </c>
      <c r="AI20" s="138" t="s">
        <v>1339</v>
      </c>
      <c r="AJ20" s="137">
        <f>IF(AN20=0,M20,0)</f>
        <v>0</v>
      </c>
      <c r="AK20" s="137">
        <f>IF(AN20=15,M20,0)</f>
        <v>0</v>
      </c>
      <c r="AL20" s="137">
        <f>IF(AN20=21,M20,0)</f>
        <v>0</v>
      </c>
      <c r="AN20" s="137">
        <v>21</v>
      </c>
      <c r="AO20" s="137">
        <f>L20*0</f>
        <v>0</v>
      </c>
      <c r="AP20" s="137">
        <f>L20*(1-0)</f>
        <v>0</v>
      </c>
      <c r="AQ20" s="139" t="s">
        <v>2</v>
      </c>
      <c r="AV20" s="137">
        <f>AW20+AX20</f>
        <v>0</v>
      </c>
      <c r="AW20" s="137">
        <f>K20*AO20</f>
        <v>0</v>
      </c>
      <c r="AX20" s="137">
        <f>K20*AP20</f>
        <v>0</v>
      </c>
      <c r="AY20" s="139" t="s">
        <v>1964</v>
      </c>
      <c r="AZ20" s="139" t="s">
        <v>1952</v>
      </c>
      <c r="BA20" s="138" t="s">
        <v>1336</v>
      </c>
      <c r="BC20" s="137">
        <f>AW20+AX20</f>
        <v>0</v>
      </c>
      <c r="BD20" s="137">
        <f>L20/(100-BE20)*100</f>
        <v>0</v>
      </c>
      <c r="BE20" s="137">
        <v>0</v>
      </c>
      <c r="BF20" s="137">
        <f>20</f>
        <v>20</v>
      </c>
      <c r="BH20" s="137">
        <f>K20*AO20</f>
        <v>0</v>
      </c>
      <c r="BI20" s="137">
        <f>K20*AP20</f>
        <v>0</v>
      </c>
      <c r="BJ20" s="137">
        <f>K20*L20</f>
        <v>0</v>
      </c>
      <c r="BK20" s="137" t="s">
        <v>442</v>
      </c>
      <c r="BL20" s="137">
        <v>16</v>
      </c>
    </row>
    <row r="21" spans="1:64">
      <c r="A21" s="130"/>
      <c r="D21" s="157" t="s">
        <v>1967</v>
      </c>
      <c r="I21" s="156"/>
      <c r="K21" s="155">
        <v>1.57</v>
      </c>
      <c r="O21" s="154"/>
      <c r="P21" s="130"/>
    </row>
    <row r="22" spans="1:64">
      <c r="A22" s="142" t="s">
        <v>1</v>
      </c>
      <c r="B22" s="141" t="s">
        <v>1339</v>
      </c>
      <c r="C22" s="141" t="s">
        <v>1966</v>
      </c>
      <c r="D22" s="243" t="s">
        <v>1965</v>
      </c>
      <c r="E22" s="243"/>
      <c r="F22" s="243"/>
      <c r="G22" s="243"/>
      <c r="H22" s="243"/>
      <c r="I22" s="243"/>
      <c r="J22" s="141" t="s">
        <v>1261</v>
      </c>
      <c r="K22" s="137">
        <v>1.58</v>
      </c>
      <c r="L22" s="203">
        <v>0</v>
      </c>
      <c r="M22" s="137">
        <f>K22*L22</f>
        <v>0</v>
      </c>
      <c r="N22" s="137">
        <v>0</v>
      </c>
      <c r="O22" s="140" t="s">
        <v>1340</v>
      </c>
      <c r="P22" s="130"/>
      <c r="Z22" s="137">
        <f>IF(AQ22="5",BJ22,0)</f>
        <v>0</v>
      </c>
      <c r="AB22" s="137">
        <f>IF(AQ22="1",BH22,0)</f>
        <v>0</v>
      </c>
      <c r="AC22" s="137">
        <f>IF(AQ22="1",BI22,0)</f>
        <v>0</v>
      </c>
      <c r="AD22" s="137">
        <f>IF(AQ22="7",BH22,0)</f>
        <v>0</v>
      </c>
      <c r="AE22" s="137">
        <f>IF(AQ22="7",BI22,0)</f>
        <v>0</v>
      </c>
      <c r="AF22" s="137">
        <f>IF(AQ22="2",BH22,0)</f>
        <v>0</v>
      </c>
      <c r="AG22" s="137">
        <f>IF(AQ22="2",BI22,0)</f>
        <v>0</v>
      </c>
      <c r="AH22" s="137">
        <f>IF(AQ22="0",BJ22,0)</f>
        <v>0</v>
      </c>
      <c r="AI22" s="138" t="s">
        <v>1339</v>
      </c>
      <c r="AJ22" s="137">
        <f>IF(AN22=0,M22,0)</f>
        <v>0</v>
      </c>
      <c r="AK22" s="137">
        <f>IF(AN22=15,M22,0)</f>
        <v>0</v>
      </c>
      <c r="AL22" s="137">
        <f>IF(AN22=21,M22,0)</f>
        <v>0</v>
      </c>
      <c r="AN22" s="137">
        <v>21</v>
      </c>
      <c r="AO22" s="137">
        <f>L22*0</f>
        <v>0</v>
      </c>
      <c r="AP22" s="137">
        <f>L22*(1-0)</f>
        <v>0</v>
      </c>
      <c r="AQ22" s="139" t="s">
        <v>2</v>
      </c>
      <c r="AV22" s="137">
        <f>AW22+AX22</f>
        <v>0</v>
      </c>
      <c r="AW22" s="137">
        <f>K22*AO22</f>
        <v>0</v>
      </c>
      <c r="AX22" s="137">
        <f>K22*AP22</f>
        <v>0</v>
      </c>
      <c r="AY22" s="139" t="s">
        <v>1964</v>
      </c>
      <c r="AZ22" s="139" t="s">
        <v>1952</v>
      </c>
      <c r="BA22" s="138" t="s">
        <v>1336</v>
      </c>
      <c r="BC22" s="137">
        <f>AW22+AX22</f>
        <v>0</v>
      </c>
      <c r="BD22" s="137">
        <f>L22/(100-BE22)*100</f>
        <v>0</v>
      </c>
      <c r="BE22" s="137">
        <v>0</v>
      </c>
      <c r="BF22" s="137">
        <f>22</f>
        <v>22</v>
      </c>
      <c r="BH22" s="137">
        <f>K22*AO22</f>
        <v>0</v>
      </c>
      <c r="BI22" s="137">
        <f>K22*AP22</f>
        <v>0</v>
      </c>
      <c r="BJ22" s="137">
        <f>K22*L22</f>
        <v>0</v>
      </c>
      <c r="BK22" s="137" t="s">
        <v>442</v>
      </c>
      <c r="BL22" s="137">
        <v>16</v>
      </c>
    </row>
    <row r="23" spans="1:64">
      <c r="A23" s="130"/>
      <c r="D23" s="157" t="s">
        <v>1963</v>
      </c>
      <c r="I23" s="156"/>
      <c r="K23" s="155">
        <v>1.58</v>
      </c>
      <c r="O23" s="154"/>
      <c r="P23" s="130"/>
    </row>
    <row r="24" spans="1:64">
      <c r="A24" s="147"/>
      <c r="B24" s="146" t="s">
        <v>1339</v>
      </c>
      <c r="C24" s="146" t="s">
        <v>323</v>
      </c>
      <c r="D24" s="252" t="s">
        <v>1962</v>
      </c>
      <c r="E24" s="252"/>
      <c r="F24" s="252"/>
      <c r="G24" s="252"/>
      <c r="H24" s="252"/>
      <c r="I24" s="252"/>
      <c r="J24" s="145" t="s">
        <v>1305</v>
      </c>
      <c r="K24" s="145" t="s">
        <v>1305</v>
      </c>
      <c r="L24" s="145" t="s">
        <v>1305</v>
      </c>
      <c r="M24" s="143">
        <f>SUM(M25:M25)</f>
        <v>0</v>
      </c>
      <c r="N24" s="138"/>
      <c r="O24" s="144"/>
      <c r="P24" s="130"/>
      <c r="AI24" s="138" t="s">
        <v>1339</v>
      </c>
      <c r="AS24" s="143">
        <f>SUM(AJ25:AJ25)</f>
        <v>0</v>
      </c>
      <c r="AT24" s="143">
        <f>SUM(AK25:AK25)</f>
        <v>0</v>
      </c>
      <c r="AU24" s="143">
        <f>SUM(AL25:AL25)</f>
        <v>0</v>
      </c>
    </row>
    <row r="25" spans="1:64">
      <c r="A25" s="142" t="s">
        <v>357</v>
      </c>
      <c r="B25" s="141" t="s">
        <v>1339</v>
      </c>
      <c r="C25" s="141" t="s">
        <v>1961</v>
      </c>
      <c r="D25" s="243" t="s">
        <v>1960</v>
      </c>
      <c r="E25" s="243"/>
      <c r="F25" s="243"/>
      <c r="G25" s="243"/>
      <c r="H25" s="243"/>
      <c r="I25" s="243"/>
      <c r="J25" s="141" t="s">
        <v>1261</v>
      </c>
      <c r="K25" s="137">
        <v>1.08</v>
      </c>
      <c r="L25" s="203">
        <v>0</v>
      </c>
      <c r="M25" s="137">
        <f>K25*L25</f>
        <v>0</v>
      </c>
      <c r="N25" s="137">
        <v>1.7</v>
      </c>
      <c r="O25" s="140" t="s">
        <v>1340</v>
      </c>
      <c r="P25" s="130"/>
      <c r="Z25" s="137">
        <f>IF(AQ25="5",BJ25,0)</f>
        <v>0</v>
      </c>
      <c r="AB25" s="137">
        <f>IF(AQ25="1",BH25,0)</f>
        <v>0</v>
      </c>
      <c r="AC25" s="137">
        <f>IF(AQ25="1",BI25,0)</f>
        <v>0</v>
      </c>
      <c r="AD25" s="137">
        <f>IF(AQ25="7",BH25,0)</f>
        <v>0</v>
      </c>
      <c r="AE25" s="137">
        <f>IF(AQ25="7",BI25,0)</f>
        <v>0</v>
      </c>
      <c r="AF25" s="137">
        <f>IF(AQ25="2",BH25,0)</f>
        <v>0</v>
      </c>
      <c r="AG25" s="137">
        <f>IF(AQ25="2",BI25,0)</f>
        <v>0</v>
      </c>
      <c r="AH25" s="137">
        <f>IF(AQ25="0",BJ25,0)</f>
        <v>0</v>
      </c>
      <c r="AI25" s="138" t="s">
        <v>1339</v>
      </c>
      <c r="AJ25" s="137">
        <f>IF(AN25=0,M25,0)</f>
        <v>0</v>
      </c>
      <c r="AK25" s="137">
        <f>IF(AN25=15,M25,0)</f>
        <v>0</v>
      </c>
      <c r="AL25" s="137">
        <f>IF(AN25=21,M25,0)</f>
        <v>0</v>
      </c>
      <c r="AN25" s="137">
        <v>21</v>
      </c>
      <c r="AO25" s="137">
        <f>L25*0.446905594405594</f>
        <v>0</v>
      </c>
      <c r="AP25" s="137">
        <f>L25*(1-0.446905594405594)</f>
        <v>0</v>
      </c>
      <c r="AQ25" s="139" t="s">
        <v>2</v>
      </c>
      <c r="AV25" s="137">
        <f>AW25+AX25</f>
        <v>0</v>
      </c>
      <c r="AW25" s="137">
        <f>K25*AO25</f>
        <v>0</v>
      </c>
      <c r="AX25" s="137">
        <f>K25*AP25</f>
        <v>0</v>
      </c>
      <c r="AY25" s="139" t="s">
        <v>1959</v>
      </c>
      <c r="AZ25" s="139" t="s">
        <v>1952</v>
      </c>
      <c r="BA25" s="138" t="s">
        <v>1336</v>
      </c>
      <c r="BC25" s="137">
        <f>AW25+AX25</f>
        <v>0</v>
      </c>
      <c r="BD25" s="137">
        <f>L25/(100-BE25)*100</f>
        <v>0</v>
      </c>
      <c r="BE25" s="137">
        <v>0</v>
      </c>
      <c r="BF25" s="137">
        <f>25</f>
        <v>25</v>
      </c>
      <c r="BH25" s="137">
        <f>K25*AO25</f>
        <v>0</v>
      </c>
      <c r="BI25" s="137">
        <f>K25*AP25</f>
        <v>0</v>
      </c>
      <c r="BJ25" s="137">
        <f>K25*L25</f>
        <v>0</v>
      </c>
      <c r="BK25" s="137" t="s">
        <v>442</v>
      </c>
      <c r="BL25" s="137">
        <v>17</v>
      </c>
    </row>
    <row r="26" spans="1:64" ht="14.65" customHeight="1">
      <c r="A26" s="130"/>
      <c r="D26" s="251" t="s">
        <v>1958</v>
      </c>
      <c r="E26" s="251"/>
      <c r="F26" s="251"/>
      <c r="G26" s="251"/>
      <c r="H26" s="251"/>
      <c r="I26" s="251"/>
      <c r="J26" s="251"/>
      <c r="K26" s="251"/>
      <c r="L26" s="251"/>
      <c r="M26" s="251"/>
      <c r="N26" s="251"/>
      <c r="O26" s="251"/>
      <c r="P26" s="130"/>
    </row>
    <row r="27" spans="1:64">
      <c r="A27" s="130"/>
      <c r="D27" s="157" t="s">
        <v>1957</v>
      </c>
      <c r="I27" s="156"/>
      <c r="K27" s="155">
        <v>1.08</v>
      </c>
      <c r="O27" s="154"/>
      <c r="P27" s="130"/>
    </row>
    <row r="28" spans="1:64">
      <c r="A28" s="147"/>
      <c r="B28" s="146" t="s">
        <v>1339</v>
      </c>
      <c r="C28" s="146" t="s">
        <v>317</v>
      </c>
      <c r="D28" s="252" t="s">
        <v>1956</v>
      </c>
      <c r="E28" s="252"/>
      <c r="F28" s="252"/>
      <c r="G28" s="252"/>
      <c r="H28" s="252"/>
      <c r="I28" s="252"/>
      <c r="J28" s="145" t="s">
        <v>1305</v>
      </c>
      <c r="K28" s="145" t="s">
        <v>1305</v>
      </c>
      <c r="L28" s="145" t="s">
        <v>1305</v>
      </c>
      <c r="M28" s="143">
        <f>SUM(M29:M29)</f>
        <v>0</v>
      </c>
      <c r="N28" s="138"/>
      <c r="O28" s="144"/>
      <c r="P28" s="130"/>
      <c r="AI28" s="138" t="s">
        <v>1339</v>
      </c>
      <c r="AS28" s="143">
        <f>SUM(AJ29:AJ29)</f>
        <v>0</v>
      </c>
      <c r="AT28" s="143">
        <f>SUM(AK29:AK29)</f>
        <v>0</v>
      </c>
      <c r="AU28" s="143">
        <f>SUM(AL29:AL29)</f>
        <v>0</v>
      </c>
    </row>
    <row r="29" spans="1:64">
      <c r="A29" s="142" t="s">
        <v>355</v>
      </c>
      <c r="B29" s="141" t="s">
        <v>1339</v>
      </c>
      <c r="C29" s="141" t="s">
        <v>1955</v>
      </c>
      <c r="D29" s="243" t="s">
        <v>1954</v>
      </c>
      <c r="E29" s="243"/>
      <c r="F29" s="243"/>
      <c r="G29" s="243"/>
      <c r="H29" s="243"/>
      <c r="I29" s="243"/>
      <c r="J29" s="141" t="s">
        <v>1261</v>
      </c>
      <c r="K29" s="137">
        <v>1.58</v>
      </c>
      <c r="L29" s="203">
        <v>0</v>
      </c>
      <c r="M29" s="137">
        <f>K29*L29</f>
        <v>0</v>
      </c>
      <c r="N29" s="137">
        <v>0</v>
      </c>
      <c r="O29" s="140" t="s">
        <v>1340</v>
      </c>
      <c r="P29" s="130"/>
      <c r="Z29" s="137">
        <f>IF(AQ29="5",BJ29,0)</f>
        <v>0</v>
      </c>
      <c r="AB29" s="137">
        <f>IF(AQ29="1",BH29,0)</f>
        <v>0</v>
      </c>
      <c r="AC29" s="137">
        <f>IF(AQ29="1",BI29,0)</f>
        <v>0</v>
      </c>
      <c r="AD29" s="137">
        <f>IF(AQ29="7",BH29,0)</f>
        <v>0</v>
      </c>
      <c r="AE29" s="137">
        <f>IF(AQ29="7",BI29,0)</f>
        <v>0</v>
      </c>
      <c r="AF29" s="137">
        <f>IF(AQ29="2",BH29,0)</f>
        <v>0</v>
      </c>
      <c r="AG29" s="137">
        <f>IF(AQ29="2",BI29,0)</f>
        <v>0</v>
      </c>
      <c r="AH29" s="137">
        <f>IF(AQ29="0",BJ29,0)</f>
        <v>0</v>
      </c>
      <c r="AI29" s="138" t="s">
        <v>1339</v>
      </c>
      <c r="AJ29" s="137">
        <f>IF(AN29=0,M29,0)</f>
        <v>0</v>
      </c>
      <c r="AK29" s="137">
        <f>IF(AN29=15,M29,0)</f>
        <v>0</v>
      </c>
      <c r="AL29" s="137">
        <f>IF(AN29=21,M29,0)</f>
        <v>0</v>
      </c>
      <c r="AN29" s="137">
        <v>21</v>
      </c>
      <c r="AO29" s="137">
        <f>L29*0</f>
        <v>0</v>
      </c>
      <c r="AP29" s="137">
        <f>L29*(1-0)</f>
        <v>0</v>
      </c>
      <c r="AQ29" s="139" t="s">
        <v>2</v>
      </c>
      <c r="AV29" s="137">
        <f>AW29+AX29</f>
        <v>0</v>
      </c>
      <c r="AW29" s="137">
        <f>K29*AO29</f>
        <v>0</v>
      </c>
      <c r="AX29" s="137">
        <f>K29*AP29</f>
        <v>0</v>
      </c>
      <c r="AY29" s="139" t="s">
        <v>1953</v>
      </c>
      <c r="AZ29" s="139" t="s">
        <v>1952</v>
      </c>
      <c r="BA29" s="138" t="s">
        <v>1336</v>
      </c>
      <c r="BC29" s="137">
        <f>AW29+AX29</f>
        <v>0</v>
      </c>
      <c r="BD29" s="137">
        <f>L29/(100-BE29)*100</f>
        <v>0</v>
      </c>
      <c r="BE29" s="137">
        <v>0</v>
      </c>
      <c r="BF29" s="137">
        <f>29</f>
        <v>29</v>
      </c>
      <c r="BH29" s="137">
        <f>K29*AO29</f>
        <v>0</v>
      </c>
      <c r="BI29" s="137">
        <f>K29*AP29</f>
        <v>0</v>
      </c>
      <c r="BJ29" s="137">
        <f>K29*L29</f>
        <v>0</v>
      </c>
      <c r="BK29" s="137" t="s">
        <v>442</v>
      </c>
      <c r="BL29" s="137">
        <v>19</v>
      </c>
    </row>
    <row r="30" spans="1:64">
      <c r="A30" s="130"/>
      <c r="D30" s="157" t="s">
        <v>1951</v>
      </c>
      <c r="I30" s="156"/>
      <c r="K30" s="155">
        <v>1.58</v>
      </c>
      <c r="O30" s="154"/>
      <c r="P30" s="130"/>
    </row>
    <row r="31" spans="1:64">
      <c r="A31" s="147"/>
      <c r="B31" s="146" t="s">
        <v>1339</v>
      </c>
      <c r="C31" s="146" t="s">
        <v>294</v>
      </c>
      <c r="D31" s="252" t="s">
        <v>1950</v>
      </c>
      <c r="E31" s="252"/>
      <c r="F31" s="252"/>
      <c r="G31" s="252"/>
      <c r="H31" s="252"/>
      <c r="I31" s="252"/>
      <c r="J31" s="145" t="s">
        <v>1305</v>
      </c>
      <c r="K31" s="145" t="s">
        <v>1305</v>
      </c>
      <c r="L31" s="145" t="s">
        <v>1305</v>
      </c>
      <c r="M31" s="143">
        <f>SUM(M32:M35)</f>
        <v>0</v>
      </c>
      <c r="N31" s="138"/>
      <c r="O31" s="144"/>
      <c r="P31" s="130"/>
      <c r="AI31" s="138" t="s">
        <v>1339</v>
      </c>
      <c r="AS31" s="143">
        <f>SUM(AJ32:AJ35)</f>
        <v>0</v>
      </c>
      <c r="AT31" s="143">
        <f>SUM(AK32:AK35)</f>
        <v>0</v>
      </c>
      <c r="AU31" s="143">
        <f>SUM(AL32:AL35)</f>
        <v>0</v>
      </c>
    </row>
    <row r="32" spans="1:64">
      <c r="A32" s="142" t="s">
        <v>352</v>
      </c>
      <c r="B32" s="141" t="s">
        <v>1339</v>
      </c>
      <c r="C32" s="141" t="s">
        <v>1949</v>
      </c>
      <c r="D32" s="243" t="s">
        <v>1948</v>
      </c>
      <c r="E32" s="243"/>
      <c r="F32" s="243"/>
      <c r="G32" s="243"/>
      <c r="H32" s="243"/>
      <c r="I32" s="243"/>
      <c r="J32" s="141" t="s">
        <v>691</v>
      </c>
      <c r="K32" s="137">
        <v>0.56999999999999995</v>
      </c>
      <c r="L32" s="203">
        <v>0</v>
      </c>
      <c r="M32" s="137">
        <f>K32*L32</f>
        <v>0</v>
      </c>
      <c r="N32" s="137">
        <v>0.74</v>
      </c>
      <c r="O32" s="140" t="s">
        <v>1340</v>
      </c>
      <c r="P32" s="130"/>
      <c r="Z32" s="137">
        <f>IF(AQ32="5",BJ32,0)</f>
        <v>0</v>
      </c>
      <c r="AB32" s="137">
        <f>IF(AQ32="1",BH32,0)</f>
        <v>0</v>
      </c>
      <c r="AC32" s="137">
        <f>IF(AQ32="1",BI32,0)</f>
        <v>0</v>
      </c>
      <c r="AD32" s="137">
        <f>IF(AQ32="7",BH32,0)</f>
        <v>0</v>
      </c>
      <c r="AE32" s="137">
        <f>IF(AQ32="7",BI32,0)</f>
        <v>0</v>
      </c>
      <c r="AF32" s="137">
        <f>IF(AQ32="2",BH32,0)</f>
        <v>0</v>
      </c>
      <c r="AG32" s="137">
        <f>IF(AQ32="2",BI32,0)</f>
        <v>0</v>
      </c>
      <c r="AH32" s="137">
        <f>IF(AQ32="0",BJ32,0)</f>
        <v>0</v>
      </c>
      <c r="AI32" s="138" t="s">
        <v>1339</v>
      </c>
      <c r="AJ32" s="137">
        <f>IF(AN32=0,M32,0)</f>
        <v>0</v>
      </c>
      <c r="AK32" s="137">
        <f>IF(AN32=15,M32,0)</f>
        <v>0</v>
      </c>
      <c r="AL32" s="137">
        <f>IF(AN32=21,M32,0)</f>
        <v>0</v>
      </c>
      <c r="AN32" s="137">
        <v>21</v>
      </c>
      <c r="AO32" s="137">
        <f>L32*0.622165433759247</f>
        <v>0</v>
      </c>
      <c r="AP32" s="137">
        <f>L32*(1-0.622165433759247)</f>
        <v>0</v>
      </c>
      <c r="AQ32" s="139" t="s">
        <v>2</v>
      </c>
      <c r="AV32" s="137">
        <f>AW32+AX32</f>
        <v>0</v>
      </c>
      <c r="AW32" s="137">
        <f>K32*AO32</f>
        <v>0</v>
      </c>
      <c r="AX32" s="137">
        <f>K32*AP32</f>
        <v>0</v>
      </c>
      <c r="AY32" s="139" t="s">
        <v>1943</v>
      </c>
      <c r="AZ32" s="139" t="s">
        <v>1942</v>
      </c>
      <c r="BA32" s="138" t="s">
        <v>1336</v>
      </c>
      <c r="BC32" s="137">
        <f>AW32+AX32</f>
        <v>0</v>
      </c>
      <c r="BD32" s="137">
        <f>L32/(100-BE32)*100</f>
        <v>0</v>
      </c>
      <c r="BE32" s="137">
        <v>0</v>
      </c>
      <c r="BF32" s="137">
        <f>32</f>
        <v>32</v>
      </c>
      <c r="BH32" s="137">
        <f>K32*AO32</f>
        <v>0</v>
      </c>
      <c r="BI32" s="137">
        <f>K32*AP32</f>
        <v>0</v>
      </c>
      <c r="BJ32" s="137">
        <f>K32*L32</f>
        <v>0</v>
      </c>
      <c r="BK32" s="137" t="s">
        <v>442</v>
      </c>
      <c r="BL32" s="137">
        <v>27</v>
      </c>
    </row>
    <row r="33" spans="1:64" ht="14.65" customHeight="1">
      <c r="A33" s="130"/>
      <c r="D33" s="251" t="s">
        <v>1947</v>
      </c>
      <c r="E33" s="251"/>
      <c r="F33" s="251"/>
      <c r="G33" s="251"/>
      <c r="H33" s="251"/>
      <c r="I33" s="251"/>
      <c r="J33" s="251"/>
      <c r="K33" s="251"/>
      <c r="L33" s="251"/>
      <c r="M33" s="251"/>
      <c r="N33" s="251"/>
      <c r="O33" s="251"/>
      <c r="P33" s="130"/>
    </row>
    <row r="34" spans="1:64">
      <c r="A34" s="130"/>
      <c r="D34" s="157" t="s">
        <v>1946</v>
      </c>
      <c r="I34" s="156"/>
      <c r="K34" s="155">
        <v>0.56999999999999995</v>
      </c>
      <c r="O34" s="154"/>
      <c r="P34" s="130"/>
    </row>
    <row r="35" spans="1:64">
      <c r="A35" s="142" t="s">
        <v>349</v>
      </c>
      <c r="B35" s="141" t="s">
        <v>1339</v>
      </c>
      <c r="C35" s="141" t="s">
        <v>1945</v>
      </c>
      <c r="D35" s="243" t="s">
        <v>1944</v>
      </c>
      <c r="E35" s="243"/>
      <c r="F35" s="243"/>
      <c r="G35" s="243"/>
      <c r="H35" s="243"/>
      <c r="I35" s="243"/>
      <c r="J35" s="141" t="s">
        <v>1261</v>
      </c>
      <c r="K35" s="137">
        <v>0.378</v>
      </c>
      <c r="L35" s="203">
        <v>0</v>
      </c>
      <c r="M35" s="137">
        <f>K35*L35</f>
        <v>0</v>
      </c>
      <c r="N35" s="137">
        <v>2.5249999999999999</v>
      </c>
      <c r="O35" s="140" t="s">
        <v>1340</v>
      </c>
      <c r="P35" s="130"/>
      <c r="Z35" s="137">
        <f>IF(AQ35="5",BJ35,0)</f>
        <v>0</v>
      </c>
      <c r="AB35" s="137">
        <f>IF(AQ35="1",BH35,0)</f>
        <v>0</v>
      </c>
      <c r="AC35" s="137">
        <f>IF(AQ35="1",BI35,0)</f>
        <v>0</v>
      </c>
      <c r="AD35" s="137">
        <f>IF(AQ35="7",BH35,0)</f>
        <v>0</v>
      </c>
      <c r="AE35" s="137">
        <f>IF(AQ35="7",BI35,0)</f>
        <v>0</v>
      </c>
      <c r="AF35" s="137">
        <f>IF(AQ35="2",BH35,0)</f>
        <v>0</v>
      </c>
      <c r="AG35" s="137">
        <f>IF(AQ35="2",BI35,0)</f>
        <v>0</v>
      </c>
      <c r="AH35" s="137">
        <f>IF(AQ35="0",BJ35,0)</f>
        <v>0</v>
      </c>
      <c r="AI35" s="138" t="s">
        <v>1339</v>
      </c>
      <c r="AJ35" s="137">
        <f>IF(AN35=0,M35,0)</f>
        <v>0</v>
      </c>
      <c r="AK35" s="137">
        <f>IF(AN35=15,M35,0)</f>
        <v>0</v>
      </c>
      <c r="AL35" s="137">
        <f>IF(AN35=21,M35,0)</f>
        <v>0</v>
      </c>
      <c r="AN35" s="137">
        <v>21</v>
      </c>
      <c r="AO35" s="137">
        <f>L35*0.888124763705104</f>
        <v>0</v>
      </c>
      <c r="AP35" s="137">
        <f>L35*(1-0.888124763705104)</f>
        <v>0</v>
      </c>
      <c r="AQ35" s="139" t="s">
        <v>2</v>
      </c>
      <c r="AV35" s="137">
        <f>AW35+AX35</f>
        <v>0</v>
      </c>
      <c r="AW35" s="137">
        <f>K35*AO35</f>
        <v>0</v>
      </c>
      <c r="AX35" s="137">
        <f>K35*AP35</f>
        <v>0</v>
      </c>
      <c r="AY35" s="139" t="s">
        <v>1943</v>
      </c>
      <c r="AZ35" s="139" t="s">
        <v>1942</v>
      </c>
      <c r="BA35" s="138" t="s">
        <v>1336</v>
      </c>
      <c r="BC35" s="137">
        <f>AW35+AX35</f>
        <v>0</v>
      </c>
      <c r="BD35" s="137">
        <f>L35/(100-BE35)*100</f>
        <v>0</v>
      </c>
      <c r="BE35" s="137">
        <v>0</v>
      </c>
      <c r="BF35" s="137">
        <f>35</f>
        <v>35</v>
      </c>
      <c r="BH35" s="137">
        <f>K35*AO35</f>
        <v>0</v>
      </c>
      <c r="BI35" s="137">
        <f>K35*AP35</f>
        <v>0</v>
      </c>
      <c r="BJ35" s="137">
        <f>K35*L35</f>
        <v>0</v>
      </c>
      <c r="BK35" s="137" t="s">
        <v>442</v>
      </c>
      <c r="BL35" s="137">
        <v>27</v>
      </c>
    </row>
    <row r="36" spans="1:64">
      <c r="A36" s="130"/>
      <c r="D36" s="157" t="s">
        <v>1941</v>
      </c>
      <c r="I36" s="156"/>
      <c r="K36" s="155">
        <v>0.378</v>
      </c>
      <c r="O36" s="154"/>
      <c r="P36" s="130"/>
    </row>
    <row r="37" spans="1:64">
      <c r="A37" s="147"/>
      <c r="B37" s="146" t="s">
        <v>1339</v>
      </c>
      <c r="C37" s="146" t="s">
        <v>286</v>
      </c>
      <c r="D37" s="252" t="s">
        <v>1940</v>
      </c>
      <c r="E37" s="252"/>
      <c r="F37" s="252"/>
      <c r="G37" s="252"/>
      <c r="H37" s="252"/>
      <c r="I37" s="252"/>
      <c r="J37" s="145" t="s">
        <v>1305</v>
      </c>
      <c r="K37" s="145" t="s">
        <v>1305</v>
      </c>
      <c r="L37" s="145" t="s">
        <v>1305</v>
      </c>
      <c r="M37" s="143">
        <f>SUM(M38:M48)</f>
        <v>0</v>
      </c>
      <c r="N37" s="138"/>
      <c r="O37" s="144"/>
      <c r="P37" s="130"/>
      <c r="AI37" s="138" t="s">
        <v>1339</v>
      </c>
      <c r="AS37" s="143">
        <f>SUM(AJ38:AJ48)</f>
        <v>0</v>
      </c>
      <c r="AT37" s="143">
        <f>SUM(AK38:AK48)</f>
        <v>0</v>
      </c>
      <c r="AU37" s="143">
        <f>SUM(AL38:AL48)</f>
        <v>0</v>
      </c>
    </row>
    <row r="38" spans="1:64">
      <c r="A38" s="142" t="s">
        <v>347</v>
      </c>
      <c r="B38" s="141" t="s">
        <v>1339</v>
      </c>
      <c r="C38" s="141" t="s">
        <v>1939</v>
      </c>
      <c r="D38" s="243" t="s">
        <v>1938</v>
      </c>
      <c r="E38" s="243"/>
      <c r="F38" s="243"/>
      <c r="G38" s="243"/>
      <c r="H38" s="243"/>
      <c r="I38" s="243"/>
      <c r="J38" s="141" t="s">
        <v>1261</v>
      </c>
      <c r="K38" s="137">
        <v>1.1205000000000001</v>
      </c>
      <c r="L38" s="203">
        <v>0</v>
      </c>
      <c r="M38" s="137">
        <f>K38*L38</f>
        <v>0</v>
      </c>
      <c r="N38" s="137">
        <v>0.58179999999999998</v>
      </c>
      <c r="O38" s="140" t="s">
        <v>1340</v>
      </c>
      <c r="P38" s="130"/>
      <c r="Z38" s="137">
        <f>IF(AQ38="5",BJ38,0)</f>
        <v>0</v>
      </c>
      <c r="AB38" s="137">
        <f>IF(AQ38="1",BH38,0)</f>
        <v>0</v>
      </c>
      <c r="AC38" s="137">
        <f>IF(AQ38="1",BI38,0)</f>
        <v>0</v>
      </c>
      <c r="AD38" s="137">
        <f>IF(AQ38="7",BH38,0)</f>
        <v>0</v>
      </c>
      <c r="AE38" s="137">
        <f>IF(AQ38="7",BI38,0)</f>
        <v>0</v>
      </c>
      <c r="AF38" s="137">
        <f>IF(AQ38="2",BH38,0)</f>
        <v>0</v>
      </c>
      <c r="AG38" s="137">
        <f>IF(AQ38="2",BI38,0)</f>
        <v>0</v>
      </c>
      <c r="AH38" s="137">
        <f>IF(AQ38="0",BJ38,0)</f>
        <v>0</v>
      </c>
      <c r="AI38" s="138" t="s">
        <v>1339</v>
      </c>
      <c r="AJ38" s="137">
        <f>IF(AN38=0,M38,0)</f>
        <v>0</v>
      </c>
      <c r="AK38" s="137">
        <f>IF(AN38=15,M38,0)</f>
        <v>0</v>
      </c>
      <c r="AL38" s="137">
        <f>IF(AN38=21,M38,0)</f>
        <v>0</v>
      </c>
      <c r="AN38" s="137">
        <v>21</v>
      </c>
      <c r="AO38" s="137">
        <f>L38*0.617601268871629</f>
        <v>0</v>
      </c>
      <c r="AP38" s="137">
        <f>L38*(1-0.617601268871629)</f>
        <v>0</v>
      </c>
      <c r="AQ38" s="139" t="s">
        <v>2</v>
      </c>
      <c r="AV38" s="137">
        <f>AW38+AX38</f>
        <v>0</v>
      </c>
      <c r="AW38" s="137">
        <f>K38*AO38</f>
        <v>0</v>
      </c>
      <c r="AX38" s="137">
        <f>K38*AP38</f>
        <v>0</v>
      </c>
      <c r="AY38" s="139" t="s">
        <v>1925</v>
      </c>
      <c r="AZ38" s="139" t="s">
        <v>1858</v>
      </c>
      <c r="BA38" s="138" t="s">
        <v>1336</v>
      </c>
      <c r="BC38" s="137">
        <f>AW38+AX38</f>
        <v>0</v>
      </c>
      <c r="BD38" s="137">
        <f>L38/(100-BE38)*100</f>
        <v>0</v>
      </c>
      <c r="BE38" s="137">
        <v>0</v>
      </c>
      <c r="BF38" s="137">
        <f>38</f>
        <v>38</v>
      </c>
      <c r="BH38" s="137">
        <f>K38*AO38</f>
        <v>0</v>
      </c>
      <c r="BI38" s="137">
        <f>K38*AP38</f>
        <v>0</v>
      </c>
      <c r="BJ38" s="137">
        <f>K38*L38</f>
        <v>0</v>
      </c>
      <c r="BK38" s="137" t="s">
        <v>442</v>
      </c>
      <c r="BL38" s="137">
        <v>31</v>
      </c>
    </row>
    <row r="39" spans="1:64">
      <c r="A39" s="130"/>
      <c r="D39" s="157" t="s">
        <v>1937</v>
      </c>
      <c r="I39" s="156"/>
      <c r="K39" s="155">
        <v>1.1205000000000001</v>
      </c>
      <c r="O39" s="154"/>
      <c r="P39" s="130"/>
    </row>
    <row r="40" spans="1:64">
      <c r="A40" s="142" t="s">
        <v>344</v>
      </c>
      <c r="B40" s="141" t="s">
        <v>1339</v>
      </c>
      <c r="C40" s="141" t="s">
        <v>1936</v>
      </c>
      <c r="D40" s="243" t="s">
        <v>1935</v>
      </c>
      <c r="E40" s="243"/>
      <c r="F40" s="243"/>
      <c r="G40" s="243"/>
      <c r="H40" s="243"/>
      <c r="I40" s="243"/>
      <c r="J40" s="141" t="s">
        <v>1261</v>
      </c>
      <c r="K40" s="137">
        <v>0.1605</v>
      </c>
      <c r="L40" s="203">
        <v>0</v>
      </c>
      <c r="M40" s="137">
        <f>K40*L40</f>
        <v>0</v>
      </c>
      <c r="N40" s="137">
        <v>1.6823999999999999</v>
      </c>
      <c r="O40" s="140" t="s">
        <v>1340</v>
      </c>
      <c r="P40" s="130"/>
      <c r="Z40" s="137">
        <f>IF(AQ40="5",BJ40,0)</f>
        <v>0</v>
      </c>
      <c r="AB40" s="137">
        <f>IF(AQ40="1",BH40,0)</f>
        <v>0</v>
      </c>
      <c r="AC40" s="137">
        <f>IF(AQ40="1",BI40,0)</f>
        <v>0</v>
      </c>
      <c r="AD40" s="137">
        <f>IF(AQ40="7",BH40,0)</f>
        <v>0</v>
      </c>
      <c r="AE40" s="137">
        <f>IF(AQ40="7",BI40,0)</f>
        <v>0</v>
      </c>
      <c r="AF40" s="137">
        <f>IF(AQ40="2",BH40,0)</f>
        <v>0</v>
      </c>
      <c r="AG40" s="137">
        <f>IF(AQ40="2",BI40,0)</f>
        <v>0</v>
      </c>
      <c r="AH40" s="137">
        <f>IF(AQ40="0",BJ40,0)</f>
        <v>0</v>
      </c>
      <c r="AI40" s="138" t="s">
        <v>1339</v>
      </c>
      <c r="AJ40" s="137">
        <f>IF(AN40=0,M40,0)</f>
        <v>0</v>
      </c>
      <c r="AK40" s="137">
        <f>IF(AN40=15,M40,0)</f>
        <v>0</v>
      </c>
      <c r="AL40" s="137">
        <f>IF(AN40=21,M40,0)</f>
        <v>0</v>
      </c>
      <c r="AN40" s="137">
        <v>21</v>
      </c>
      <c r="AO40" s="137">
        <f>L40*0.609049768518518</f>
        <v>0</v>
      </c>
      <c r="AP40" s="137">
        <f>L40*(1-0.609049768518518)</f>
        <v>0</v>
      </c>
      <c r="AQ40" s="139" t="s">
        <v>2</v>
      </c>
      <c r="AV40" s="137">
        <f>AW40+AX40</f>
        <v>0</v>
      </c>
      <c r="AW40" s="137">
        <f>K40*AO40</f>
        <v>0</v>
      </c>
      <c r="AX40" s="137">
        <f>K40*AP40</f>
        <v>0</v>
      </c>
      <c r="AY40" s="139" t="s">
        <v>1925</v>
      </c>
      <c r="AZ40" s="139" t="s">
        <v>1858</v>
      </c>
      <c r="BA40" s="138" t="s">
        <v>1336</v>
      </c>
      <c r="BC40" s="137">
        <f>AW40+AX40</f>
        <v>0</v>
      </c>
      <c r="BD40" s="137">
        <f>L40/(100-BE40)*100</f>
        <v>0</v>
      </c>
      <c r="BE40" s="137">
        <v>0</v>
      </c>
      <c r="BF40" s="137">
        <f>40</f>
        <v>40</v>
      </c>
      <c r="BH40" s="137">
        <f>K40*AO40</f>
        <v>0</v>
      </c>
      <c r="BI40" s="137">
        <f>K40*AP40</f>
        <v>0</v>
      </c>
      <c r="BJ40" s="137">
        <f>K40*L40</f>
        <v>0</v>
      </c>
      <c r="BK40" s="137" t="s">
        <v>442</v>
      </c>
      <c r="BL40" s="137">
        <v>31</v>
      </c>
    </row>
    <row r="41" spans="1:64" ht="14.65" customHeight="1">
      <c r="A41" s="130"/>
      <c r="D41" s="251" t="s">
        <v>1845</v>
      </c>
      <c r="E41" s="251"/>
      <c r="F41" s="251"/>
      <c r="G41" s="251"/>
      <c r="H41" s="251"/>
      <c r="I41" s="251"/>
      <c r="J41" s="251"/>
      <c r="K41" s="251"/>
      <c r="L41" s="251"/>
      <c r="M41" s="251"/>
      <c r="N41" s="251"/>
      <c r="O41" s="251"/>
      <c r="P41" s="130"/>
    </row>
    <row r="42" spans="1:64">
      <c r="A42" s="130"/>
      <c r="D42" s="157" t="s">
        <v>1934</v>
      </c>
      <c r="I42" s="156"/>
      <c r="K42" s="155">
        <v>0.1605</v>
      </c>
      <c r="O42" s="154"/>
      <c r="P42" s="130"/>
    </row>
    <row r="43" spans="1:64">
      <c r="A43" s="142" t="s">
        <v>341</v>
      </c>
      <c r="B43" s="141" t="s">
        <v>1339</v>
      </c>
      <c r="C43" s="141" t="s">
        <v>1933</v>
      </c>
      <c r="D43" s="243" t="s">
        <v>1932</v>
      </c>
      <c r="E43" s="243"/>
      <c r="F43" s="243"/>
      <c r="G43" s="243"/>
      <c r="H43" s="243"/>
      <c r="I43" s="243"/>
      <c r="J43" s="141" t="s">
        <v>722</v>
      </c>
      <c r="K43" s="137">
        <v>6</v>
      </c>
      <c r="L43" s="203">
        <v>0</v>
      </c>
      <c r="M43" s="137">
        <f>K43*L43</f>
        <v>0</v>
      </c>
      <c r="N43" s="137">
        <v>1.0500000000000001E-2</v>
      </c>
      <c r="O43" s="140" t="s">
        <v>1340</v>
      </c>
      <c r="P43" s="130"/>
      <c r="Z43" s="137">
        <f>IF(AQ43="5",BJ43,0)</f>
        <v>0</v>
      </c>
      <c r="AB43" s="137">
        <f>IF(AQ43="1",BH43,0)</f>
        <v>0</v>
      </c>
      <c r="AC43" s="137">
        <f>IF(AQ43="1",BI43,0)</f>
        <v>0</v>
      </c>
      <c r="AD43" s="137">
        <f>IF(AQ43="7",BH43,0)</f>
        <v>0</v>
      </c>
      <c r="AE43" s="137">
        <f>IF(AQ43="7",BI43,0)</f>
        <v>0</v>
      </c>
      <c r="AF43" s="137">
        <f>IF(AQ43="2",BH43,0)</f>
        <v>0</v>
      </c>
      <c r="AG43" s="137">
        <f>IF(AQ43="2",BI43,0)</f>
        <v>0</v>
      </c>
      <c r="AH43" s="137">
        <f>IF(AQ43="0",BJ43,0)</f>
        <v>0</v>
      </c>
      <c r="AI43" s="138" t="s">
        <v>1339</v>
      </c>
      <c r="AJ43" s="137">
        <f>IF(AN43=0,M43,0)</f>
        <v>0</v>
      </c>
      <c r="AK43" s="137">
        <f>IF(AN43=15,M43,0)</f>
        <v>0</v>
      </c>
      <c r="AL43" s="137">
        <f>IF(AN43=21,M43,0)</f>
        <v>0</v>
      </c>
      <c r="AN43" s="137">
        <v>21</v>
      </c>
      <c r="AO43" s="137">
        <f>L43*0.341146321645103</f>
        <v>0</v>
      </c>
      <c r="AP43" s="137">
        <f>L43*(1-0.341146321645103)</f>
        <v>0</v>
      </c>
      <c r="AQ43" s="139" t="s">
        <v>2</v>
      </c>
      <c r="AV43" s="137">
        <f>AW43+AX43</f>
        <v>0</v>
      </c>
      <c r="AW43" s="137">
        <f>K43*AO43</f>
        <v>0</v>
      </c>
      <c r="AX43" s="137">
        <f>K43*AP43</f>
        <v>0</v>
      </c>
      <c r="AY43" s="139" t="s">
        <v>1925</v>
      </c>
      <c r="AZ43" s="139" t="s">
        <v>1858</v>
      </c>
      <c r="BA43" s="138" t="s">
        <v>1336</v>
      </c>
      <c r="BC43" s="137">
        <f>AW43+AX43</f>
        <v>0</v>
      </c>
      <c r="BD43" s="137">
        <f>L43/(100-BE43)*100</f>
        <v>0</v>
      </c>
      <c r="BE43" s="137">
        <v>0</v>
      </c>
      <c r="BF43" s="137">
        <f>43</f>
        <v>43</v>
      </c>
      <c r="BH43" s="137">
        <f>K43*AO43</f>
        <v>0</v>
      </c>
      <c r="BI43" s="137">
        <f>K43*AP43</f>
        <v>0</v>
      </c>
      <c r="BJ43" s="137">
        <f>K43*L43</f>
        <v>0</v>
      </c>
      <c r="BK43" s="137" t="s">
        <v>442</v>
      </c>
      <c r="BL43" s="137">
        <v>31</v>
      </c>
    </row>
    <row r="44" spans="1:64">
      <c r="A44" s="130"/>
      <c r="D44" s="157" t="s">
        <v>355</v>
      </c>
      <c r="I44" s="156"/>
      <c r="K44" s="155">
        <v>6</v>
      </c>
      <c r="O44" s="154"/>
      <c r="P44" s="130"/>
    </row>
    <row r="45" spans="1:64">
      <c r="A45" s="142" t="s">
        <v>339</v>
      </c>
      <c r="B45" s="141" t="s">
        <v>1339</v>
      </c>
      <c r="C45" s="141" t="s">
        <v>1931</v>
      </c>
      <c r="D45" s="243" t="s">
        <v>1930</v>
      </c>
      <c r="E45" s="243"/>
      <c r="F45" s="243"/>
      <c r="G45" s="243"/>
      <c r="H45" s="243"/>
      <c r="I45" s="243"/>
      <c r="J45" s="141" t="s">
        <v>735</v>
      </c>
      <c r="K45" s="137">
        <v>0.11859</v>
      </c>
      <c r="L45" s="203">
        <v>0</v>
      </c>
      <c r="M45" s="137">
        <f>K45*L45</f>
        <v>0</v>
      </c>
      <c r="N45" s="137">
        <v>1.0900000000000001</v>
      </c>
      <c r="O45" s="140" t="s">
        <v>1340</v>
      </c>
      <c r="P45" s="130"/>
      <c r="Z45" s="137">
        <f>IF(AQ45="5",BJ45,0)</f>
        <v>0</v>
      </c>
      <c r="AB45" s="137">
        <f>IF(AQ45="1",BH45,0)</f>
        <v>0</v>
      </c>
      <c r="AC45" s="137">
        <f>IF(AQ45="1",BI45,0)</f>
        <v>0</v>
      </c>
      <c r="AD45" s="137">
        <f>IF(AQ45="7",BH45,0)</f>
        <v>0</v>
      </c>
      <c r="AE45" s="137">
        <f>IF(AQ45="7",BI45,0)</f>
        <v>0</v>
      </c>
      <c r="AF45" s="137">
        <f>IF(AQ45="2",BH45,0)</f>
        <v>0</v>
      </c>
      <c r="AG45" s="137">
        <f>IF(AQ45="2",BI45,0)</f>
        <v>0</v>
      </c>
      <c r="AH45" s="137">
        <f>IF(AQ45="0",BJ45,0)</f>
        <v>0</v>
      </c>
      <c r="AI45" s="138" t="s">
        <v>1339</v>
      </c>
      <c r="AJ45" s="137">
        <f>IF(AN45=0,M45,0)</f>
        <v>0</v>
      </c>
      <c r="AK45" s="137">
        <f>IF(AN45=15,M45,0)</f>
        <v>0</v>
      </c>
      <c r="AL45" s="137">
        <f>IF(AN45=21,M45,0)</f>
        <v>0</v>
      </c>
      <c r="AN45" s="137">
        <v>21</v>
      </c>
      <c r="AO45" s="137">
        <f>L45*0.811672009672479</f>
        <v>0</v>
      </c>
      <c r="AP45" s="137">
        <f>L45*(1-0.811672009672479)</f>
        <v>0</v>
      </c>
      <c r="AQ45" s="139" t="s">
        <v>2</v>
      </c>
      <c r="AV45" s="137">
        <f>AW45+AX45</f>
        <v>0</v>
      </c>
      <c r="AW45" s="137">
        <f>K45*AO45</f>
        <v>0</v>
      </c>
      <c r="AX45" s="137">
        <f>K45*AP45</f>
        <v>0</v>
      </c>
      <c r="AY45" s="139" t="s">
        <v>1925</v>
      </c>
      <c r="AZ45" s="139" t="s">
        <v>1858</v>
      </c>
      <c r="BA45" s="138" t="s">
        <v>1336</v>
      </c>
      <c r="BC45" s="137">
        <f>AW45+AX45</f>
        <v>0</v>
      </c>
      <c r="BD45" s="137">
        <f>L45/(100-BE45)*100</f>
        <v>0</v>
      </c>
      <c r="BE45" s="137">
        <v>0</v>
      </c>
      <c r="BF45" s="137">
        <f>45</f>
        <v>45</v>
      </c>
      <c r="BH45" s="137">
        <f>K45*AO45</f>
        <v>0</v>
      </c>
      <c r="BI45" s="137">
        <f>K45*AP45</f>
        <v>0</v>
      </c>
      <c r="BJ45" s="137">
        <f>K45*L45</f>
        <v>0</v>
      </c>
      <c r="BK45" s="137" t="s">
        <v>442</v>
      </c>
      <c r="BL45" s="137">
        <v>31</v>
      </c>
    </row>
    <row r="46" spans="1:64" ht="14.65" customHeight="1">
      <c r="A46" s="130"/>
      <c r="D46" s="251" t="s">
        <v>1929</v>
      </c>
      <c r="E46" s="251"/>
      <c r="F46" s="251"/>
      <c r="G46" s="251"/>
      <c r="H46" s="251"/>
      <c r="I46" s="251"/>
      <c r="J46" s="251"/>
      <c r="K46" s="251"/>
      <c r="L46" s="251"/>
      <c r="M46" s="251"/>
      <c r="N46" s="251"/>
      <c r="O46" s="251"/>
      <c r="P46" s="130"/>
    </row>
    <row r="47" spans="1:64">
      <c r="A47" s="130"/>
      <c r="D47" s="157" t="s">
        <v>1928</v>
      </c>
      <c r="I47" s="156"/>
      <c r="K47" s="155">
        <v>0.11859</v>
      </c>
      <c r="O47" s="154"/>
      <c r="P47" s="130"/>
    </row>
    <row r="48" spans="1:64">
      <c r="A48" s="142" t="s">
        <v>336</v>
      </c>
      <c r="B48" s="141" t="s">
        <v>1339</v>
      </c>
      <c r="C48" s="141" t="s">
        <v>1927</v>
      </c>
      <c r="D48" s="243" t="s">
        <v>1926</v>
      </c>
      <c r="E48" s="243"/>
      <c r="F48" s="243"/>
      <c r="G48" s="243"/>
      <c r="H48" s="243"/>
      <c r="I48" s="243"/>
      <c r="J48" s="141" t="s">
        <v>722</v>
      </c>
      <c r="K48" s="137">
        <v>4</v>
      </c>
      <c r="L48" s="203">
        <v>0</v>
      </c>
      <c r="M48" s="137">
        <f>K48*L48</f>
        <v>0</v>
      </c>
      <c r="N48" s="137">
        <v>6.3E-3</v>
      </c>
      <c r="O48" s="140" t="s">
        <v>1340</v>
      </c>
      <c r="P48" s="130"/>
      <c r="Z48" s="137">
        <f>IF(AQ48="5",BJ48,0)</f>
        <v>0</v>
      </c>
      <c r="AB48" s="137">
        <f>IF(AQ48="1",BH48,0)</f>
        <v>0</v>
      </c>
      <c r="AC48" s="137">
        <f>IF(AQ48="1",BI48,0)</f>
        <v>0</v>
      </c>
      <c r="AD48" s="137">
        <f>IF(AQ48="7",BH48,0)</f>
        <v>0</v>
      </c>
      <c r="AE48" s="137">
        <f>IF(AQ48="7",BI48,0)</f>
        <v>0</v>
      </c>
      <c r="AF48" s="137">
        <f>IF(AQ48="2",BH48,0)</f>
        <v>0</v>
      </c>
      <c r="AG48" s="137">
        <f>IF(AQ48="2",BI48,0)</f>
        <v>0</v>
      </c>
      <c r="AH48" s="137">
        <f>IF(AQ48="0",BJ48,0)</f>
        <v>0</v>
      </c>
      <c r="AI48" s="138" t="s">
        <v>1339</v>
      </c>
      <c r="AJ48" s="137">
        <f>IF(AN48=0,M48,0)</f>
        <v>0</v>
      </c>
      <c r="AK48" s="137">
        <f>IF(AN48=15,M48,0)</f>
        <v>0</v>
      </c>
      <c r="AL48" s="137">
        <f>IF(AN48=21,M48,0)</f>
        <v>0</v>
      </c>
      <c r="AN48" s="137">
        <v>21</v>
      </c>
      <c r="AO48" s="137">
        <f>L48*0.3725</f>
        <v>0</v>
      </c>
      <c r="AP48" s="137">
        <f>L48*(1-0.3725)</f>
        <v>0</v>
      </c>
      <c r="AQ48" s="139" t="s">
        <v>2</v>
      </c>
      <c r="AV48" s="137">
        <f>AW48+AX48</f>
        <v>0</v>
      </c>
      <c r="AW48" s="137">
        <f>K48*AO48</f>
        <v>0</v>
      </c>
      <c r="AX48" s="137">
        <f>K48*AP48</f>
        <v>0</v>
      </c>
      <c r="AY48" s="139" t="s">
        <v>1925</v>
      </c>
      <c r="AZ48" s="139" t="s">
        <v>1858</v>
      </c>
      <c r="BA48" s="138" t="s">
        <v>1336</v>
      </c>
      <c r="BC48" s="137">
        <f>AW48+AX48</f>
        <v>0</v>
      </c>
      <c r="BD48" s="137">
        <f>L48/(100-BE48)*100</f>
        <v>0</v>
      </c>
      <c r="BE48" s="137">
        <v>0</v>
      </c>
      <c r="BF48" s="137">
        <f>48</f>
        <v>48</v>
      </c>
      <c r="BH48" s="137">
        <f>K48*AO48</f>
        <v>0</v>
      </c>
      <c r="BI48" s="137">
        <f>K48*AP48</f>
        <v>0</v>
      </c>
      <c r="BJ48" s="137">
        <f>K48*L48</f>
        <v>0</v>
      </c>
      <c r="BK48" s="137" t="s">
        <v>442</v>
      </c>
      <c r="BL48" s="137">
        <v>31</v>
      </c>
    </row>
    <row r="49" spans="1:64">
      <c r="A49" s="130"/>
      <c r="D49" s="157" t="s">
        <v>1924</v>
      </c>
      <c r="I49" s="156"/>
      <c r="K49" s="155">
        <v>4</v>
      </c>
      <c r="O49" s="154"/>
      <c r="P49" s="130"/>
    </row>
    <row r="50" spans="1:64">
      <c r="A50" s="147"/>
      <c r="B50" s="146" t="s">
        <v>1339</v>
      </c>
      <c r="C50" s="146" t="s">
        <v>281</v>
      </c>
      <c r="D50" s="252" t="s">
        <v>1923</v>
      </c>
      <c r="E50" s="252"/>
      <c r="F50" s="252"/>
      <c r="G50" s="252"/>
      <c r="H50" s="252"/>
      <c r="I50" s="252"/>
      <c r="J50" s="145" t="s">
        <v>1305</v>
      </c>
      <c r="K50" s="145" t="s">
        <v>1305</v>
      </c>
      <c r="L50" s="145" t="s">
        <v>1305</v>
      </c>
      <c r="M50" s="143">
        <f>SUM(M51:M53)</f>
        <v>0</v>
      </c>
      <c r="N50" s="138"/>
      <c r="O50" s="144"/>
      <c r="P50" s="130"/>
      <c r="AI50" s="138" t="s">
        <v>1339</v>
      </c>
      <c r="AS50" s="143">
        <f>SUM(AJ51:AJ53)</f>
        <v>0</v>
      </c>
      <c r="AT50" s="143">
        <f>SUM(AK51:AK53)</f>
        <v>0</v>
      </c>
      <c r="AU50" s="143">
        <f>SUM(AL51:AL53)</f>
        <v>0</v>
      </c>
    </row>
    <row r="51" spans="1:64">
      <c r="A51" s="142" t="s">
        <v>334</v>
      </c>
      <c r="B51" s="141" t="s">
        <v>1339</v>
      </c>
      <c r="C51" s="141" t="s">
        <v>1922</v>
      </c>
      <c r="D51" s="243" t="s">
        <v>1921</v>
      </c>
      <c r="E51" s="243"/>
      <c r="F51" s="243"/>
      <c r="G51" s="243"/>
      <c r="H51" s="243"/>
      <c r="I51" s="243"/>
      <c r="J51" s="141" t="s">
        <v>722</v>
      </c>
      <c r="K51" s="137">
        <v>1</v>
      </c>
      <c r="L51" s="203">
        <v>0</v>
      </c>
      <c r="M51" s="137">
        <f>K51*L51</f>
        <v>0</v>
      </c>
      <c r="N51" s="137">
        <v>0.18625</v>
      </c>
      <c r="O51" s="140" t="s">
        <v>1340</v>
      </c>
      <c r="P51" s="130"/>
      <c r="Z51" s="137">
        <f>IF(AQ51="5",BJ51,0)</f>
        <v>0</v>
      </c>
      <c r="AB51" s="137">
        <f>IF(AQ51="1",BH51,0)</f>
        <v>0</v>
      </c>
      <c r="AC51" s="137">
        <f>IF(AQ51="1",BI51,0)</f>
        <v>0</v>
      </c>
      <c r="AD51" s="137">
        <f>IF(AQ51="7",BH51,0)</f>
        <v>0</v>
      </c>
      <c r="AE51" s="137">
        <f>IF(AQ51="7",BI51,0)</f>
        <v>0</v>
      </c>
      <c r="AF51" s="137">
        <f>IF(AQ51="2",BH51,0)</f>
        <v>0</v>
      </c>
      <c r="AG51" s="137">
        <f>IF(AQ51="2",BI51,0)</f>
        <v>0</v>
      </c>
      <c r="AH51" s="137">
        <f>IF(AQ51="0",BJ51,0)</f>
        <v>0</v>
      </c>
      <c r="AI51" s="138" t="s">
        <v>1339</v>
      </c>
      <c r="AJ51" s="137">
        <f>IF(AN51=0,M51,0)</f>
        <v>0</v>
      </c>
      <c r="AK51" s="137">
        <f>IF(AN51=15,M51,0)</f>
        <v>0</v>
      </c>
      <c r="AL51" s="137">
        <f>IF(AN51=21,M51,0)</f>
        <v>0</v>
      </c>
      <c r="AN51" s="137">
        <v>21</v>
      </c>
      <c r="AO51" s="137">
        <f>L51*0.382341786554069</f>
        <v>0</v>
      </c>
      <c r="AP51" s="137">
        <f>L51*(1-0.382341786554069)</f>
        <v>0</v>
      </c>
      <c r="AQ51" s="139" t="s">
        <v>2</v>
      </c>
      <c r="AV51" s="137">
        <f>AW51+AX51</f>
        <v>0</v>
      </c>
      <c r="AW51" s="137">
        <f>K51*AO51</f>
        <v>0</v>
      </c>
      <c r="AX51" s="137">
        <f>K51*AP51</f>
        <v>0</v>
      </c>
      <c r="AY51" s="139" t="s">
        <v>1917</v>
      </c>
      <c r="AZ51" s="139" t="s">
        <v>1858</v>
      </c>
      <c r="BA51" s="138" t="s">
        <v>1336</v>
      </c>
      <c r="BC51" s="137">
        <f>AW51+AX51</f>
        <v>0</v>
      </c>
      <c r="BD51" s="137">
        <f>L51/(100-BE51)*100</f>
        <v>0</v>
      </c>
      <c r="BE51" s="137">
        <v>0</v>
      </c>
      <c r="BF51" s="137">
        <f>51</f>
        <v>51</v>
      </c>
      <c r="BH51" s="137">
        <f>K51*AO51</f>
        <v>0</v>
      </c>
      <c r="BI51" s="137">
        <f>K51*AP51</f>
        <v>0</v>
      </c>
      <c r="BJ51" s="137">
        <f>K51*L51</f>
        <v>0</v>
      </c>
      <c r="BK51" s="137" t="s">
        <v>442</v>
      </c>
      <c r="BL51" s="137">
        <v>33</v>
      </c>
    </row>
    <row r="52" spans="1:64">
      <c r="A52" s="130"/>
      <c r="D52" s="157" t="s">
        <v>1920</v>
      </c>
      <c r="I52" s="156"/>
      <c r="K52" s="155">
        <v>1</v>
      </c>
      <c r="O52" s="154"/>
      <c r="P52" s="130"/>
    </row>
    <row r="53" spans="1:64">
      <c r="A53" s="142" t="s">
        <v>332</v>
      </c>
      <c r="B53" s="141" t="s">
        <v>1339</v>
      </c>
      <c r="C53" s="141" t="s">
        <v>1919</v>
      </c>
      <c r="D53" s="243" t="s">
        <v>1918</v>
      </c>
      <c r="E53" s="243"/>
      <c r="F53" s="243"/>
      <c r="G53" s="243"/>
      <c r="H53" s="243"/>
      <c r="I53" s="243"/>
      <c r="J53" s="141" t="s">
        <v>21</v>
      </c>
      <c r="K53" s="137">
        <v>2</v>
      </c>
      <c r="L53" s="203">
        <v>0</v>
      </c>
      <c r="M53" s="137">
        <f>K53*L53</f>
        <v>0</v>
      </c>
      <c r="N53" s="137">
        <v>1.2E-2</v>
      </c>
      <c r="O53" s="140" t="s">
        <v>1340</v>
      </c>
      <c r="P53" s="130"/>
      <c r="Z53" s="137">
        <f>IF(AQ53="5",BJ53,0)</f>
        <v>0</v>
      </c>
      <c r="AB53" s="137">
        <f>IF(AQ53="1",BH53,0)</f>
        <v>0</v>
      </c>
      <c r="AC53" s="137">
        <f>IF(AQ53="1",BI53,0)</f>
        <v>0</v>
      </c>
      <c r="AD53" s="137">
        <f>IF(AQ53="7",BH53,0)</f>
        <v>0</v>
      </c>
      <c r="AE53" s="137">
        <f>IF(AQ53="7",BI53,0)</f>
        <v>0</v>
      </c>
      <c r="AF53" s="137">
        <f>IF(AQ53="2",BH53,0)</f>
        <v>0</v>
      </c>
      <c r="AG53" s="137">
        <f>IF(AQ53="2",BI53,0)</f>
        <v>0</v>
      </c>
      <c r="AH53" s="137">
        <f>IF(AQ53="0",BJ53,0)</f>
        <v>0</v>
      </c>
      <c r="AI53" s="138" t="s">
        <v>1339</v>
      </c>
      <c r="AJ53" s="137">
        <f>IF(AN53=0,M53,0)</f>
        <v>0</v>
      </c>
      <c r="AK53" s="137">
        <f>IF(AN53=15,M53,0)</f>
        <v>0</v>
      </c>
      <c r="AL53" s="137">
        <f>IF(AN53=21,M53,0)</f>
        <v>0</v>
      </c>
      <c r="AN53" s="137">
        <v>21</v>
      </c>
      <c r="AO53" s="137">
        <f>L53*1</f>
        <v>0</v>
      </c>
      <c r="AP53" s="137">
        <f>L53*(1-1)</f>
        <v>0</v>
      </c>
      <c r="AQ53" s="139" t="s">
        <v>2</v>
      </c>
      <c r="AV53" s="137">
        <f>AW53+AX53</f>
        <v>0</v>
      </c>
      <c r="AW53" s="137">
        <f>K53*AO53</f>
        <v>0</v>
      </c>
      <c r="AX53" s="137">
        <f>K53*AP53</f>
        <v>0</v>
      </c>
      <c r="AY53" s="139" t="s">
        <v>1917</v>
      </c>
      <c r="AZ53" s="139" t="s">
        <v>1858</v>
      </c>
      <c r="BA53" s="138" t="s">
        <v>1336</v>
      </c>
      <c r="BC53" s="137">
        <f>AW53+AX53</f>
        <v>0</v>
      </c>
      <c r="BD53" s="137">
        <f>L53/(100-BE53)*100</f>
        <v>0</v>
      </c>
      <c r="BE53" s="137">
        <v>0</v>
      </c>
      <c r="BF53" s="137">
        <f>53</f>
        <v>53</v>
      </c>
      <c r="BH53" s="137">
        <f>K53*AO53</f>
        <v>0</v>
      </c>
      <c r="BI53" s="137">
        <f>K53*AP53</f>
        <v>0</v>
      </c>
      <c r="BJ53" s="137">
        <f>K53*L53</f>
        <v>0</v>
      </c>
      <c r="BK53" s="137" t="s">
        <v>750</v>
      </c>
      <c r="BL53" s="137">
        <v>33</v>
      </c>
    </row>
    <row r="54" spans="1:64">
      <c r="A54" s="130"/>
      <c r="D54" s="157" t="s">
        <v>1916</v>
      </c>
      <c r="I54" s="156"/>
      <c r="K54" s="155">
        <v>2</v>
      </c>
      <c r="O54" s="154"/>
      <c r="P54" s="130"/>
    </row>
    <row r="55" spans="1:64">
      <c r="A55" s="147"/>
      <c r="B55" s="146" t="s">
        <v>1339</v>
      </c>
      <c r="C55" s="146" t="s">
        <v>279</v>
      </c>
      <c r="D55" s="252" t="s">
        <v>1915</v>
      </c>
      <c r="E55" s="252"/>
      <c r="F55" s="252"/>
      <c r="G55" s="252"/>
      <c r="H55" s="252"/>
      <c r="I55" s="252"/>
      <c r="J55" s="145" t="s">
        <v>1305</v>
      </c>
      <c r="K55" s="145" t="s">
        <v>1305</v>
      </c>
      <c r="L55" s="145" t="s">
        <v>1305</v>
      </c>
      <c r="M55" s="143">
        <f>SUM(M56:M107)</f>
        <v>0</v>
      </c>
      <c r="N55" s="138"/>
      <c r="O55" s="144"/>
      <c r="P55" s="130"/>
      <c r="AI55" s="138" t="s">
        <v>1339</v>
      </c>
      <c r="AS55" s="143">
        <f>SUM(AJ56:AJ107)</f>
        <v>0</v>
      </c>
      <c r="AT55" s="143">
        <f>SUM(AK56:AK107)</f>
        <v>0</v>
      </c>
      <c r="AU55" s="143">
        <f>SUM(AL56:AL107)</f>
        <v>0</v>
      </c>
    </row>
    <row r="56" spans="1:64">
      <c r="A56" s="142" t="s">
        <v>328</v>
      </c>
      <c r="B56" s="141" t="s">
        <v>1339</v>
      </c>
      <c r="C56" s="141" t="s">
        <v>1914</v>
      </c>
      <c r="D56" s="243" t="s">
        <v>1913</v>
      </c>
      <c r="E56" s="243"/>
      <c r="F56" s="243"/>
      <c r="G56" s="243"/>
      <c r="H56" s="243"/>
      <c r="I56" s="243"/>
      <c r="J56" s="141" t="s">
        <v>691</v>
      </c>
      <c r="K56" s="137">
        <v>64.587249999999997</v>
      </c>
      <c r="L56" s="203">
        <v>0</v>
      </c>
      <c r="M56" s="137">
        <f>K56*L56</f>
        <v>0</v>
      </c>
      <c r="N56" s="137">
        <v>2.5950000000000001E-2</v>
      </c>
      <c r="O56" s="140" t="s">
        <v>1340</v>
      </c>
      <c r="P56" s="130"/>
      <c r="Z56" s="137">
        <f>IF(AQ56="5",BJ56,0)</f>
        <v>0</v>
      </c>
      <c r="AB56" s="137">
        <f>IF(AQ56="1",BH56,0)</f>
        <v>0</v>
      </c>
      <c r="AC56" s="137">
        <f>IF(AQ56="1",BI56,0)</f>
        <v>0</v>
      </c>
      <c r="AD56" s="137">
        <f>IF(AQ56="7",BH56,0)</f>
        <v>0</v>
      </c>
      <c r="AE56" s="137">
        <f>IF(AQ56="7",BI56,0)</f>
        <v>0</v>
      </c>
      <c r="AF56" s="137">
        <f>IF(AQ56="2",BH56,0)</f>
        <v>0</v>
      </c>
      <c r="AG56" s="137">
        <f>IF(AQ56="2",BI56,0)</f>
        <v>0</v>
      </c>
      <c r="AH56" s="137">
        <f>IF(AQ56="0",BJ56,0)</f>
        <v>0</v>
      </c>
      <c r="AI56" s="138" t="s">
        <v>1339</v>
      </c>
      <c r="AJ56" s="137">
        <f>IF(AN56=0,M56,0)</f>
        <v>0</v>
      </c>
      <c r="AK56" s="137">
        <f>IF(AN56=15,M56,0)</f>
        <v>0</v>
      </c>
      <c r="AL56" s="137">
        <f>IF(AN56=21,M56,0)</f>
        <v>0</v>
      </c>
      <c r="AN56" s="137">
        <v>21</v>
      </c>
      <c r="AO56" s="137">
        <f>L56*0.523994899633276</f>
        <v>0</v>
      </c>
      <c r="AP56" s="137">
        <f>L56*(1-0.523994899633276)</f>
        <v>0</v>
      </c>
      <c r="AQ56" s="139" t="s">
        <v>2</v>
      </c>
      <c r="AV56" s="137">
        <f>AW56+AX56</f>
        <v>0</v>
      </c>
      <c r="AW56" s="137">
        <f>K56*AO56</f>
        <v>0</v>
      </c>
      <c r="AX56" s="137">
        <f>K56*AP56</f>
        <v>0</v>
      </c>
      <c r="AY56" s="139" t="s">
        <v>1859</v>
      </c>
      <c r="AZ56" s="139" t="s">
        <v>1858</v>
      </c>
      <c r="BA56" s="138" t="s">
        <v>1336</v>
      </c>
      <c r="BC56" s="137">
        <f>AW56+AX56</f>
        <v>0</v>
      </c>
      <c r="BD56" s="137">
        <f>L56/(100-BE56)*100</f>
        <v>0</v>
      </c>
      <c r="BE56" s="137">
        <v>0</v>
      </c>
      <c r="BF56" s="137">
        <f>56</f>
        <v>56</v>
      </c>
      <c r="BH56" s="137">
        <f>K56*AO56</f>
        <v>0</v>
      </c>
      <c r="BI56" s="137">
        <f>K56*AP56</f>
        <v>0</v>
      </c>
      <c r="BJ56" s="137">
        <f>K56*L56</f>
        <v>0</v>
      </c>
      <c r="BK56" s="137" t="s">
        <v>442</v>
      </c>
      <c r="BL56" s="137">
        <v>34</v>
      </c>
    </row>
    <row r="57" spans="1:64">
      <c r="A57" s="130"/>
      <c r="D57" s="157" t="s">
        <v>1912</v>
      </c>
      <c r="I57" s="156"/>
      <c r="K57" s="155">
        <v>17.916250000000002</v>
      </c>
      <c r="O57" s="154"/>
      <c r="P57" s="130"/>
    </row>
    <row r="58" spans="1:64">
      <c r="A58" s="130"/>
      <c r="D58" s="157" t="s">
        <v>1911</v>
      </c>
      <c r="I58" s="156"/>
      <c r="K58" s="155">
        <v>48.651000000000003</v>
      </c>
      <c r="O58" s="154"/>
      <c r="P58" s="130"/>
    </row>
    <row r="59" spans="1:64">
      <c r="A59" s="130"/>
      <c r="D59" s="157" t="s">
        <v>1910</v>
      </c>
      <c r="I59" s="156"/>
      <c r="K59" s="155">
        <v>-1.98</v>
      </c>
      <c r="O59" s="154"/>
      <c r="P59" s="130"/>
    </row>
    <row r="60" spans="1:64">
      <c r="A60" s="142" t="s">
        <v>323</v>
      </c>
      <c r="B60" s="141" t="s">
        <v>1339</v>
      </c>
      <c r="C60" s="141" t="s">
        <v>1909</v>
      </c>
      <c r="D60" s="243" t="s">
        <v>1908</v>
      </c>
      <c r="E60" s="243"/>
      <c r="F60" s="243"/>
      <c r="G60" s="243"/>
      <c r="H60" s="243"/>
      <c r="I60" s="243"/>
      <c r="J60" s="141" t="s">
        <v>691</v>
      </c>
      <c r="K60" s="137">
        <v>53.680999999999997</v>
      </c>
      <c r="L60" s="203">
        <v>0</v>
      </c>
      <c r="M60" s="137">
        <f>K60*L60</f>
        <v>0</v>
      </c>
      <c r="N60" s="137">
        <v>2E-3</v>
      </c>
      <c r="O60" s="140" t="s">
        <v>1340</v>
      </c>
      <c r="P60" s="130"/>
      <c r="Z60" s="137">
        <f>IF(AQ60="5",BJ60,0)</f>
        <v>0</v>
      </c>
      <c r="AB60" s="137">
        <f>IF(AQ60="1",BH60,0)</f>
        <v>0</v>
      </c>
      <c r="AC60" s="137">
        <f>IF(AQ60="1",BI60,0)</f>
        <v>0</v>
      </c>
      <c r="AD60" s="137">
        <f>IF(AQ60="7",BH60,0)</f>
        <v>0</v>
      </c>
      <c r="AE60" s="137">
        <f>IF(AQ60="7",BI60,0)</f>
        <v>0</v>
      </c>
      <c r="AF60" s="137">
        <f>IF(AQ60="2",BH60,0)</f>
        <v>0</v>
      </c>
      <c r="AG60" s="137">
        <f>IF(AQ60="2",BI60,0)</f>
        <v>0</v>
      </c>
      <c r="AH60" s="137">
        <f>IF(AQ60="0",BJ60,0)</f>
        <v>0</v>
      </c>
      <c r="AI60" s="138" t="s">
        <v>1339</v>
      </c>
      <c r="AJ60" s="137">
        <f>IF(AN60=0,M60,0)</f>
        <v>0</v>
      </c>
      <c r="AK60" s="137">
        <f>IF(AN60=15,M60,0)</f>
        <v>0</v>
      </c>
      <c r="AL60" s="137">
        <f>IF(AN60=21,M60,0)</f>
        <v>0</v>
      </c>
      <c r="AN60" s="137">
        <v>21</v>
      </c>
      <c r="AO60" s="137">
        <f>L60*1.00000073212755</f>
        <v>0</v>
      </c>
      <c r="AP60" s="137">
        <f>L60*(1-1.00000073212755)</f>
        <v>0</v>
      </c>
      <c r="AQ60" s="139" t="s">
        <v>2</v>
      </c>
      <c r="AV60" s="137">
        <f>AW60+AX60</f>
        <v>0</v>
      </c>
      <c r="AW60" s="137">
        <f>K60*AO60</f>
        <v>0</v>
      </c>
      <c r="AX60" s="137">
        <f>K60*AP60</f>
        <v>0</v>
      </c>
      <c r="AY60" s="139" t="s">
        <v>1859</v>
      </c>
      <c r="AZ60" s="139" t="s">
        <v>1858</v>
      </c>
      <c r="BA60" s="138" t="s">
        <v>1336</v>
      </c>
      <c r="BC60" s="137">
        <f>AW60+AX60</f>
        <v>0</v>
      </c>
      <c r="BD60" s="137">
        <f>L60/(100-BE60)*100</f>
        <v>0</v>
      </c>
      <c r="BE60" s="137">
        <v>0</v>
      </c>
      <c r="BF60" s="137">
        <f>60</f>
        <v>60</v>
      </c>
      <c r="BH60" s="137">
        <f>K60*AO60</f>
        <v>0</v>
      </c>
      <c r="BI60" s="137">
        <f>K60*AP60</f>
        <v>0</v>
      </c>
      <c r="BJ60" s="137">
        <f>K60*L60</f>
        <v>0</v>
      </c>
      <c r="BK60" s="137" t="s">
        <v>442</v>
      </c>
      <c r="BL60" s="137">
        <v>34</v>
      </c>
    </row>
    <row r="61" spans="1:64">
      <c r="A61" s="130"/>
      <c r="D61" s="157" t="s">
        <v>1907</v>
      </c>
      <c r="I61" s="156"/>
      <c r="K61" s="155">
        <v>17.899999999999999</v>
      </c>
      <c r="O61" s="154"/>
      <c r="P61" s="130"/>
    </row>
    <row r="62" spans="1:64">
      <c r="A62" s="130"/>
      <c r="D62" s="157" t="s">
        <v>1906</v>
      </c>
      <c r="I62" s="156"/>
      <c r="K62" s="155">
        <v>35.780999999999999</v>
      </c>
      <c r="O62" s="154"/>
      <c r="P62" s="130"/>
    </row>
    <row r="63" spans="1:64">
      <c r="A63" s="142" t="s">
        <v>320</v>
      </c>
      <c r="B63" s="141" t="s">
        <v>1339</v>
      </c>
      <c r="C63" s="141" t="s">
        <v>1905</v>
      </c>
      <c r="D63" s="243" t="s">
        <v>1904</v>
      </c>
      <c r="E63" s="243"/>
      <c r="F63" s="243"/>
      <c r="G63" s="243"/>
      <c r="H63" s="243"/>
      <c r="I63" s="243"/>
      <c r="J63" s="141" t="s">
        <v>722</v>
      </c>
      <c r="K63" s="137">
        <v>7</v>
      </c>
      <c r="L63" s="203">
        <v>0</v>
      </c>
      <c r="M63" s="137">
        <f>K63*L63</f>
        <v>0</v>
      </c>
      <c r="N63" s="137">
        <v>0</v>
      </c>
      <c r="O63" s="140" t="s">
        <v>1340</v>
      </c>
      <c r="P63" s="130"/>
      <c r="Z63" s="137">
        <f>IF(AQ63="5",BJ63,0)</f>
        <v>0</v>
      </c>
      <c r="AB63" s="137">
        <f>IF(AQ63="1",BH63,0)</f>
        <v>0</v>
      </c>
      <c r="AC63" s="137">
        <f>IF(AQ63="1",BI63,0)</f>
        <v>0</v>
      </c>
      <c r="AD63" s="137">
        <f>IF(AQ63="7",BH63,0)</f>
        <v>0</v>
      </c>
      <c r="AE63" s="137">
        <f>IF(AQ63="7",BI63,0)</f>
        <v>0</v>
      </c>
      <c r="AF63" s="137">
        <f>IF(AQ63="2",BH63,0)</f>
        <v>0</v>
      </c>
      <c r="AG63" s="137">
        <f>IF(AQ63="2",BI63,0)</f>
        <v>0</v>
      </c>
      <c r="AH63" s="137">
        <f>IF(AQ63="0",BJ63,0)</f>
        <v>0</v>
      </c>
      <c r="AI63" s="138" t="s">
        <v>1339</v>
      </c>
      <c r="AJ63" s="137">
        <f>IF(AN63=0,M63,0)</f>
        <v>0</v>
      </c>
      <c r="AK63" s="137">
        <f>IF(AN63=15,M63,0)</f>
        <v>0</v>
      </c>
      <c r="AL63" s="137">
        <f>IF(AN63=21,M63,0)</f>
        <v>0</v>
      </c>
      <c r="AN63" s="137">
        <v>21</v>
      </c>
      <c r="AO63" s="137">
        <f>L63*0</f>
        <v>0</v>
      </c>
      <c r="AP63" s="137">
        <f>L63*(1-0)</f>
        <v>0</v>
      </c>
      <c r="AQ63" s="139" t="s">
        <v>2</v>
      </c>
      <c r="AV63" s="137">
        <f>AW63+AX63</f>
        <v>0</v>
      </c>
      <c r="AW63" s="137">
        <f>K63*AO63</f>
        <v>0</v>
      </c>
      <c r="AX63" s="137">
        <f>K63*AP63</f>
        <v>0</v>
      </c>
      <c r="AY63" s="139" t="s">
        <v>1859</v>
      </c>
      <c r="AZ63" s="139" t="s">
        <v>1858</v>
      </c>
      <c r="BA63" s="138" t="s">
        <v>1336</v>
      </c>
      <c r="BC63" s="137">
        <f>AW63+AX63</f>
        <v>0</v>
      </c>
      <c r="BD63" s="137">
        <f>L63/(100-BE63)*100</f>
        <v>0</v>
      </c>
      <c r="BE63" s="137">
        <v>0</v>
      </c>
      <c r="BF63" s="137">
        <f>63</f>
        <v>63</v>
      </c>
      <c r="BH63" s="137">
        <f>K63*AO63</f>
        <v>0</v>
      </c>
      <c r="BI63" s="137">
        <f>K63*AP63</f>
        <v>0</v>
      </c>
      <c r="BJ63" s="137">
        <f>K63*L63</f>
        <v>0</v>
      </c>
      <c r="BK63" s="137" t="s">
        <v>442</v>
      </c>
      <c r="BL63" s="137">
        <v>34</v>
      </c>
    </row>
    <row r="64" spans="1:64">
      <c r="A64" s="130"/>
      <c r="D64" s="157" t="s">
        <v>352</v>
      </c>
      <c r="I64" s="156"/>
      <c r="K64" s="155">
        <v>7</v>
      </c>
      <c r="O64" s="154"/>
      <c r="P64" s="130"/>
    </row>
    <row r="65" spans="1:64">
      <c r="A65" s="142" t="s">
        <v>317</v>
      </c>
      <c r="B65" s="141" t="s">
        <v>1339</v>
      </c>
      <c r="C65" s="141" t="s">
        <v>1903</v>
      </c>
      <c r="D65" s="243" t="s">
        <v>1885</v>
      </c>
      <c r="E65" s="243"/>
      <c r="F65" s="243"/>
      <c r="G65" s="243"/>
      <c r="H65" s="243"/>
      <c r="I65" s="243"/>
      <c r="J65" s="141" t="s">
        <v>691</v>
      </c>
      <c r="K65" s="137">
        <v>24.38</v>
      </c>
      <c r="L65" s="203">
        <v>0</v>
      </c>
      <c r="M65" s="137">
        <f>K65*L65</f>
        <v>0</v>
      </c>
      <c r="N65" s="137">
        <v>1.2149999999999999E-2</v>
      </c>
      <c r="O65" s="140" t="s">
        <v>1340</v>
      </c>
      <c r="P65" s="130"/>
      <c r="Z65" s="137">
        <f>IF(AQ65="5",BJ65,0)</f>
        <v>0</v>
      </c>
      <c r="AB65" s="137">
        <f>IF(AQ65="1",BH65,0)</f>
        <v>0</v>
      </c>
      <c r="AC65" s="137">
        <f>IF(AQ65="1",BI65,0)</f>
        <v>0</v>
      </c>
      <c r="AD65" s="137">
        <f>IF(AQ65="7",BH65,0)</f>
        <v>0</v>
      </c>
      <c r="AE65" s="137">
        <f>IF(AQ65="7",BI65,0)</f>
        <v>0</v>
      </c>
      <c r="AF65" s="137">
        <f>IF(AQ65="2",BH65,0)</f>
        <v>0</v>
      </c>
      <c r="AG65" s="137">
        <f>IF(AQ65="2",BI65,0)</f>
        <v>0</v>
      </c>
      <c r="AH65" s="137">
        <f>IF(AQ65="0",BJ65,0)</f>
        <v>0</v>
      </c>
      <c r="AI65" s="138" t="s">
        <v>1339</v>
      </c>
      <c r="AJ65" s="137">
        <f>IF(AN65=0,M65,0)</f>
        <v>0</v>
      </c>
      <c r="AK65" s="137">
        <f>IF(AN65=15,M65,0)</f>
        <v>0</v>
      </c>
      <c r="AL65" s="137">
        <f>IF(AN65=21,M65,0)</f>
        <v>0</v>
      </c>
      <c r="AN65" s="137">
        <v>21</v>
      </c>
      <c r="AO65" s="137">
        <f>L65*0.393172496984318</f>
        <v>0</v>
      </c>
      <c r="AP65" s="137">
        <f>L65*(1-0.393172496984318)</f>
        <v>0</v>
      </c>
      <c r="AQ65" s="139" t="s">
        <v>2</v>
      </c>
      <c r="AV65" s="137">
        <f>AW65+AX65</f>
        <v>0</v>
      </c>
      <c r="AW65" s="137">
        <f>K65*AO65</f>
        <v>0</v>
      </c>
      <c r="AX65" s="137">
        <f>K65*AP65</f>
        <v>0</v>
      </c>
      <c r="AY65" s="139" t="s">
        <v>1859</v>
      </c>
      <c r="AZ65" s="139" t="s">
        <v>1858</v>
      </c>
      <c r="BA65" s="138" t="s">
        <v>1336</v>
      </c>
      <c r="BC65" s="137">
        <f>AW65+AX65</f>
        <v>0</v>
      </c>
      <c r="BD65" s="137">
        <f>L65/(100-BE65)*100</f>
        <v>0</v>
      </c>
      <c r="BE65" s="137">
        <v>0</v>
      </c>
      <c r="BF65" s="137">
        <f>65</f>
        <v>65</v>
      </c>
      <c r="BH65" s="137">
        <f>K65*AO65</f>
        <v>0</v>
      </c>
      <c r="BI65" s="137">
        <f>K65*AP65</f>
        <v>0</v>
      </c>
      <c r="BJ65" s="137">
        <f>K65*L65</f>
        <v>0</v>
      </c>
      <c r="BK65" s="137" t="s">
        <v>442</v>
      </c>
      <c r="BL65" s="137">
        <v>34</v>
      </c>
    </row>
    <row r="66" spans="1:64" ht="14.65" customHeight="1">
      <c r="A66" s="130"/>
      <c r="D66" s="251" t="s">
        <v>1892</v>
      </c>
      <c r="E66" s="251"/>
      <c r="F66" s="251"/>
      <c r="G66" s="251"/>
      <c r="H66" s="251"/>
      <c r="I66" s="251"/>
      <c r="J66" s="251"/>
      <c r="K66" s="251"/>
      <c r="L66" s="251"/>
      <c r="M66" s="251"/>
      <c r="N66" s="251"/>
      <c r="O66" s="251"/>
      <c r="P66" s="130"/>
    </row>
    <row r="67" spans="1:64">
      <c r="A67" s="130"/>
      <c r="D67" s="157" t="s">
        <v>1415</v>
      </c>
      <c r="I67" s="156"/>
      <c r="K67" s="155">
        <v>1.21</v>
      </c>
      <c r="O67" s="154"/>
      <c r="P67" s="130"/>
    </row>
    <row r="68" spans="1:64">
      <c r="A68" s="130"/>
      <c r="D68" s="157" t="s">
        <v>1414</v>
      </c>
      <c r="I68" s="156"/>
      <c r="K68" s="155">
        <v>2.9</v>
      </c>
      <c r="O68" s="154"/>
      <c r="P68" s="130"/>
    </row>
    <row r="69" spans="1:64">
      <c r="A69" s="130"/>
      <c r="D69" s="157" t="s">
        <v>1899</v>
      </c>
      <c r="I69" s="156"/>
      <c r="K69" s="155">
        <v>2</v>
      </c>
      <c r="O69" s="154"/>
      <c r="P69" s="130"/>
    </row>
    <row r="70" spans="1:64">
      <c r="A70" s="130"/>
      <c r="D70" s="157" t="s">
        <v>1898</v>
      </c>
      <c r="I70" s="156"/>
      <c r="K70" s="155">
        <v>18.27</v>
      </c>
      <c r="O70" s="154"/>
      <c r="P70" s="130"/>
    </row>
    <row r="71" spans="1:64">
      <c r="A71" s="142" t="s">
        <v>314</v>
      </c>
      <c r="B71" s="141" t="s">
        <v>1339</v>
      </c>
      <c r="C71" s="141" t="s">
        <v>1902</v>
      </c>
      <c r="D71" s="243" t="s">
        <v>1901</v>
      </c>
      <c r="E71" s="243"/>
      <c r="F71" s="243"/>
      <c r="G71" s="243"/>
      <c r="H71" s="243"/>
      <c r="I71" s="243"/>
      <c r="J71" s="141" t="s">
        <v>691</v>
      </c>
      <c r="K71" s="137">
        <v>26.58</v>
      </c>
      <c r="L71" s="203">
        <v>0</v>
      </c>
      <c r="M71" s="137">
        <f>K71*L71</f>
        <v>0</v>
      </c>
      <c r="N71" s="137">
        <v>0</v>
      </c>
      <c r="O71" s="140" t="s">
        <v>1340</v>
      </c>
      <c r="P71" s="130"/>
      <c r="Z71" s="137">
        <f>IF(AQ71="5",BJ71,0)</f>
        <v>0</v>
      </c>
      <c r="AB71" s="137">
        <f>IF(AQ71="1",BH71,0)</f>
        <v>0</v>
      </c>
      <c r="AC71" s="137">
        <f>IF(AQ71="1",BI71,0)</f>
        <v>0</v>
      </c>
      <c r="AD71" s="137">
        <f>IF(AQ71="7",BH71,0)</f>
        <v>0</v>
      </c>
      <c r="AE71" s="137">
        <f>IF(AQ71="7",BI71,0)</f>
        <v>0</v>
      </c>
      <c r="AF71" s="137">
        <f>IF(AQ71="2",BH71,0)</f>
        <v>0</v>
      </c>
      <c r="AG71" s="137">
        <f>IF(AQ71="2",BI71,0)</f>
        <v>0</v>
      </c>
      <c r="AH71" s="137">
        <f>IF(AQ71="0",BJ71,0)</f>
        <v>0</v>
      </c>
      <c r="AI71" s="138" t="s">
        <v>1339</v>
      </c>
      <c r="AJ71" s="137">
        <f>IF(AN71=0,M71,0)</f>
        <v>0</v>
      </c>
      <c r="AK71" s="137">
        <f>IF(AN71=15,M71,0)</f>
        <v>0</v>
      </c>
      <c r="AL71" s="137">
        <f>IF(AN71=21,M71,0)</f>
        <v>0</v>
      </c>
      <c r="AN71" s="137">
        <v>21</v>
      </c>
      <c r="AO71" s="137">
        <f>L71*0</f>
        <v>0</v>
      </c>
      <c r="AP71" s="137">
        <f>L71*(1-0)</f>
        <v>0</v>
      </c>
      <c r="AQ71" s="139" t="s">
        <v>2</v>
      </c>
      <c r="AV71" s="137">
        <f>AW71+AX71</f>
        <v>0</v>
      </c>
      <c r="AW71" s="137">
        <f>K71*AO71</f>
        <v>0</v>
      </c>
      <c r="AX71" s="137">
        <f>K71*AP71</f>
        <v>0</v>
      </c>
      <c r="AY71" s="139" t="s">
        <v>1859</v>
      </c>
      <c r="AZ71" s="139" t="s">
        <v>1858</v>
      </c>
      <c r="BA71" s="138" t="s">
        <v>1336</v>
      </c>
      <c r="BC71" s="137">
        <f>AW71+AX71</f>
        <v>0</v>
      </c>
      <c r="BD71" s="137">
        <f>L71/(100-BE71)*100</f>
        <v>0</v>
      </c>
      <c r="BE71" s="137">
        <v>0</v>
      </c>
      <c r="BF71" s="137">
        <f>71</f>
        <v>71</v>
      </c>
      <c r="BH71" s="137">
        <f>K71*AO71</f>
        <v>0</v>
      </c>
      <c r="BI71" s="137">
        <f>K71*AP71</f>
        <v>0</v>
      </c>
      <c r="BJ71" s="137">
        <f>K71*L71</f>
        <v>0</v>
      </c>
      <c r="BK71" s="137" t="s">
        <v>442</v>
      </c>
      <c r="BL71" s="137">
        <v>34</v>
      </c>
    </row>
    <row r="72" spans="1:64" ht="14.65" customHeight="1">
      <c r="A72" s="130"/>
      <c r="D72" s="251" t="s">
        <v>1900</v>
      </c>
      <c r="E72" s="251"/>
      <c r="F72" s="251"/>
      <c r="G72" s="251"/>
      <c r="H72" s="251"/>
      <c r="I72" s="251"/>
      <c r="J72" s="251"/>
      <c r="K72" s="251"/>
      <c r="L72" s="251"/>
      <c r="M72" s="251"/>
      <c r="N72" s="251"/>
      <c r="O72" s="251"/>
      <c r="P72" s="130"/>
    </row>
    <row r="73" spans="1:64">
      <c r="A73" s="130"/>
      <c r="D73" s="157" t="s">
        <v>1415</v>
      </c>
      <c r="I73" s="156"/>
      <c r="K73" s="155">
        <v>1.21</v>
      </c>
      <c r="O73" s="154"/>
      <c r="P73" s="130"/>
    </row>
    <row r="74" spans="1:64">
      <c r="A74" s="130"/>
      <c r="D74" s="157" t="s">
        <v>1414</v>
      </c>
      <c r="I74" s="156"/>
      <c r="K74" s="155">
        <v>2.9</v>
      </c>
      <c r="O74" s="154"/>
      <c r="P74" s="130"/>
    </row>
    <row r="75" spans="1:64">
      <c r="A75" s="130"/>
      <c r="D75" s="157" t="s">
        <v>1899</v>
      </c>
      <c r="I75" s="156"/>
      <c r="K75" s="155">
        <v>2</v>
      </c>
      <c r="O75" s="154"/>
      <c r="P75" s="130"/>
    </row>
    <row r="76" spans="1:64">
      <c r="A76" s="130"/>
      <c r="D76" s="157" t="s">
        <v>1898</v>
      </c>
      <c r="I76" s="156"/>
      <c r="K76" s="155">
        <v>18.27</v>
      </c>
      <c r="O76" s="154"/>
      <c r="P76" s="130"/>
    </row>
    <row r="77" spans="1:64">
      <c r="A77" s="130"/>
      <c r="D77" s="157" t="s">
        <v>1897</v>
      </c>
      <c r="I77" s="156"/>
      <c r="K77" s="155">
        <v>2.2000000000000002</v>
      </c>
      <c r="O77" s="154"/>
      <c r="P77" s="130"/>
    </row>
    <row r="78" spans="1:64">
      <c r="A78" s="142" t="s">
        <v>311</v>
      </c>
      <c r="B78" s="141" t="s">
        <v>1339</v>
      </c>
      <c r="C78" s="141" t="s">
        <v>1896</v>
      </c>
      <c r="D78" s="243" t="s">
        <v>1895</v>
      </c>
      <c r="E78" s="243"/>
      <c r="F78" s="243"/>
      <c r="G78" s="243"/>
      <c r="H78" s="243"/>
      <c r="I78" s="243"/>
      <c r="J78" s="141" t="s">
        <v>691</v>
      </c>
      <c r="K78" s="137">
        <v>2.125</v>
      </c>
      <c r="L78" s="203">
        <v>0</v>
      </c>
      <c r="M78" s="137">
        <f>K78*L78</f>
        <v>0</v>
      </c>
      <c r="N78" s="137">
        <v>0.15679999999999999</v>
      </c>
      <c r="O78" s="140" t="s">
        <v>1340</v>
      </c>
      <c r="P78" s="130"/>
      <c r="Z78" s="137">
        <f>IF(AQ78="5",BJ78,0)</f>
        <v>0</v>
      </c>
      <c r="AB78" s="137">
        <f>IF(AQ78="1",BH78,0)</f>
        <v>0</v>
      </c>
      <c r="AC78" s="137">
        <f>IF(AQ78="1",BI78,0)</f>
        <v>0</v>
      </c>
      <c r="AD78" s="137">
        <f>IF(AQ78="7",BH78,0)</f>
        <v>0</v>
      </c>
      <c r="AE78" s="137">
        <f>IF(AQ78="7",BI78,0)</f>
        <v>0</v>
      </c>
      <c r="AF78" s="137">
        <f>IF(AQ78="2",BH78,0)</f>
        <v>0</v>
      </c>
      <c r="AG78" s="137">
        <f>IF(AQ78="2",BI78,0)</f>
        <v>0</v>
      </c>
      <c r="AH78" s="137">
        <f>IF(AQ78="0",BJ78,0)</f>
        <v>0</v>
      </c>
      <c r="AI78" s="138" t="s">
        <v>1339</v>
      </c>
      <c r="AJ78" s="137">
        <f>IF(AN78=0,M78,0)</f>
        <v>0</v>
      </c>
      <c r="AK78" s="137">
        <f>IF(AN78=15,M78,0)</f>
        <v>0</v>
      </c>
      <c r="AL78" s="137">
        <f>IF(AN78=21,M78,0)</f>
        <v>0</v>
      </c>
      <c r="AN78" s="137">
        <v>21</v>
      </c>
      <c r="AO78" s="137">
        <f>L78*0.466417253521127</f>
        <v>0</v>
      </c>
      <c r="AP78" s="137">
        <f>L78*(1-0.466417253521127)</f>
        <v>0</v>
      </c>
      <c r="AQ78" s="139" t="s">
        <v>2</v>
      </c>
      <c r="AV78" s="137">
        <f>AW78+AX78</f>
        <v>0</v>
      </c>
      <c r="AW78" s="137">
        <f>K78*AO78</f>
        <v>0</v>
      </c>
      <c r="AX78" s="137">
        <f>K78*AP78</f>
        <v>0</v>
      </c>
      <c r="AY78" s="139" t="s">
        <v>1859</v>
      </c>
      <c r="AZ78" s="139" t="s">
        <v>1858</v>
      </c>
      <c r="BA78" s="138" t="s">
        <v>1336</v>
      </c>
      <c r="BC78" s="137">
        <f>AW78+AX78</f>
        <v>0</v>
      </c>
      <c r="BD78" s="137">
        <f>L78/(100-BE78)*100</f>
        <v>0</v>
      </c>
      <c r="BE78" s="137">
        <v>0</v>
      </c>
      <c r="BF78" s="137">
        <f>78</f>
        <v>78</v>
      </c>
      <c r="BH78" s="137">
        <f>K78*AO78</f>
        <v>0</v>
      </c>
      <c r="BI78" s="137">
        <f>K78*AP78</f>
        <v>0</v>
      </c>
      <c r="BJ78" s="137">
        <f>K78*L78</f>
        <v>0</v>
      </c>
      <c r="BK78" s="137" t="s">
        <v>442</v>
      </c>
      <c r="BL78" s="137">
        <v>34</v>
      </c>
    </row>
    <row r="79" spans="1:64" ht="14.65" customHeight="1">
      <c r="A79" s="130"/>
      <c r="D79" s="251" t="s">
        <v>1845</v>
      </c>
      <c r="E79" s="251"/>
      <c r="F79" s="251"/>
      <c r="G79" s="251"/>
      <c r="H79" s="251"/>
      <c r="I79" s="251"/>
      <c r="J79" s="251"/>
      <c r="K79" s="251"/>
      <c r="L79" s="251"/>
      <c r="M79" s="251"/>
      <c r="N79" s="251"/>
      <c r="O79" s="251"/>
      <c r="P79" s="130"/>
    </row>
    <row r="80" spans="1:64">
      <c r="A80" s="130"/>
      <c r="D80" s="157" t="s">
        <v>1894</v>
      </c>
      <c r="I80" s="156"/>
      <c r="K80" s="155">
        <v>2.125</v>
      </c>
      <c r="O80" s="154"/>
      <c r="P80" s="130"/>
    </row>
    <row r="81" spans="1:64">
      <c r="A81" s="142" t="s">
        <v>308</v>
      </c>
      <c r="B81" s="141" t="s">
        <v>1339</v>
      </c>
      <c r="C81" s="141" t="s">
        <v>1893</v>
      </c>
      <c r="D81" s="243" t="s">
        <v>1889</v>
      </c>
      <c r="E81" s="243"/>
      <c r="F81" s="243"/>
      <c r="G81" s="243"/>
      <c r="H81" s="243"/>
      <c r="I81" s="243"/>
      <c r="J81" s="141" t="s">
        <v>691</v>
      </c>
      <c r="K81" s="137">
        <v>15.494999999999999</v>
      </c>
      <c r="L81" s="203">
        <v>0</v>
      </c>
      <c r="M81" s="137">
        <f>K81*L81</f>
        <v>0</v>
      </c>
      <c r="N81" s="137">
        <v>1.1990000000000001E-2</v>
      </c>
      <c r="O81" s="140" t="s">
        <v>1340</v>
      </c>
      <c r="P81" s="130"/>
      <c r="Z81" s="137">
        <f>IF(AQ81="5",BJ81,0)</f>
        <v>0</v>
      </c>
      <c r="AB81" s="137">
        <f>IF(AQ81="1",BH81,0)</f>
        <v>0</v>
      </c>
      <c r="AC81" s="137">
        <f>IF(AQ81="1",BI81,0)</f>
        <v>0</v>
      </c>
      <c r="AD81" s="137">
        <f>IF(AQ81="7",BH81,0)</f>
        <v>0</v>
      </c>
      <c r="AE81" s="137">
        <f>IF(AQ81="7",BI81,0)</f>
        <v>0</v>
      </c>
      <c r="AF81" s="137">
        <f>IF(AQ81="2",BH81,0)</f>
        <v>0</v>
      </c>
      <c r="AG81" s="137">
        <f>IF(AQ81="2",BI81,0)</f>
        <v>0</v>
      </c>
      <c r="AH81" s="137">
        <f>IF(AQ81="0",BJ81,0)</f>
        <v>0</v>
      </c>
      <c r="AI81" s="138" t="s">
        <v>1339</v>
      </c>
      <c r="AJ81" s="137">
        <f>IF(AN81=0,M81,0)</f>
        <v>0</v>
      </c>
      <c r="AK81" s="137">
        <f>IF(AN81=15,M81,0)</f>
        <v>0</v>
      </c>
      <c r="AL81" s="137">
        <f>IF(AN81=21,M81,0)</f>
        <v>0</v>
      </c>
      <c r="AN81" s="137">
        <v>21</v>
      </c>
      <c r="AO81" s="137">
        <f>L81*0.426661676646707</f>
        <v>0</v>
      </c>
      <c r="AP81" s="137">
        <f>L81*(1-0.426661676646707)</f>
        <v>0</v>
      </c>
      <c r="AQ81" s="139" t="s">
        <v>2</v>
      </c>
      <c r="AV81" s="137">
        <f>AW81+AX81</f>
        <v>0</v>
      </c>
      <c r="AW81" s="137">
        <f>K81*AO81</f>
        <v>0</v>
      </c>
      <c r="AX81" s="137">
        <f>K81*AP81</f>
        <v>0</v>
      </c>
      <c r="AY81" s="139" t="s">
        <v>1859</v>
      </c>
      <c r="AZ81" s="139" t="s">
        <v>1858</v>
      </c>
      <c r="BA81" s="138" t="s">
        <v>1336</v>
      </c>
      <c r="BC81" s="137">
        <f>AW81+AX81</f>
        <v>0</v>
      </c>
      <c r="BD81" s="137">
        <f>L81/(100-BE81)*100</f>
        <v>0</v>
      </c>
      <c r="BE81" s="137">
        <v>0</v>
      </c>
      <c r="BF81" s="137">
        <f>81</f>
        <v>81</v>
      </c>
      <c r="BH81" s="137">
        <f>K81*AO81</f>
        <v>0</v>
      </c>
      <c r="BI81" s="137">
        <f>K81*AP81</f>
        <v>0</v>
      </c>
      <c r="BJ81" s="137">
        <f>K81*L81</f>
        <v>0</v>
      </c>
      <c r="BK81" s="137" t="s">
        <v>442</v>
      </c>
      <c r="BL81" s="137">
        <v>34</v>
      </c>
    </row>
    <row r="82" spans="1:64" ht="14.65" customHeight="1">
      <c r="A82" s="130"/>
      <c r="D82" s="251" t="s">
        <v>1892</v>
      </c>
      <c r="E82" s="251"/>
      <c r="F82" s="251"/>
      <c r="G82" s="251"/>
      <c r="H82" s="251"/>
      <c r="I82" s="251"/>
      <c r="J82" s="251"/>
      <c r="K82" s="251"/>
      <c r="L82" s="251"/>
      <c r="M82" s="251"/>
      <c r="N82" s="251"/>
      <c r="O82" s="251"/>
      <c r="P82" s="130"/>
    </row>
    <row r="83" spans="1:64">
      <c r="A83" s="130"/>
      <c r="D83" s="157" t="s">
        <v>1891</v>
      </c>
      <c r="I83" s="156"/>
      <c r="K83" s="155">
        <v>15.494999999999999</v>
      </c>
      <c r="O83" s="154"/>
      <c r="P83" s="130"/>
    </row>
    <row r="84" spans="1:64">
      <c r="A84" s="142" t="s">
        <v>305</v>
      </c>
      <c r="B84" s="141" t="s">
        <v>1339</v>
      </c>
      <c r="C84" s="141" t="s">
        <v>1890</v>
      </c>
      <c r="D84" s="243" t="s">
        <v>1889</v>
      </c>
      <c r="E84" s="243"/>
      <c r="F84" s="243"/>
      <c r="G84" s="243"/>
      <c r="H84" s="243"/>
      <c r="I84" s="243"/>
      <c r="J84" s="141" t="s">
        <v>691</v>
      </c>
      <c r="K84" s="137">
        <v>1.4</v>
      </c>
      <c r="L84" s="203">
        <v>0</v>
      </c>
      <c r="M84" s="137">
        <f>K84*L84</f>
        <v>0</v>
      </c>
      <c r="N84" s="137">
        <v>1.5769999999999999E-2</v>
      </c>
      <c r="O84" s="140" t="s">
        <v>1340</v>
      </c>
      <c r="P84" s="130"/>
      <c r="Z84" s="137">
        <f>IF(AQ84="5",BJ84,0)</f>
        <v>0</v>
      </c>
      <c r="AB84" s="137">
        <f>IF(AQ84="1",BH84,0)</f>
        <v>0</v>
      </c>
      <c r="AC84" s="137">
        <f>IF(AQ84="1",BI84,0)</f>
        <v>0</v>
      </c>
      <c r="AD84" s="137">
        <f>IF(AQ84="7",BH84,0)</f>
        <v>0</v>
      </c>
      <c r="AE84" s="137">
        <f>IF(AQ84="7",BI84,0)</f>
        <v>0</v>
      </c>
      <c r="AF84" s="137">
        <f>IF(AQ84="2",BH84,0)</f>
        <v>0</v>
      </c>
      <c r="AG84" s="137">
        <f>IF(AQ84="2",BI84,0)</f>
        <v>0</v>
      </c>
      <c r="AH84" s="137">
        <f>IF(AQ84="0",BJ84,0)</f>
        <v>0</v>
      </c>
      <c r="AI84" s="138" t="s">
        <v>1339</v>
      </c>
      <c r="AJ84" s="137">
        <f>IF(AN84=0,M84,0)</f>
        <v>0</v>
      </c>
      <c r="AK84" s="137">
        <f>IF(AN84=15,M84,0)</f>
        <v>0</v>
      </c>
      <c r="AL84" s="137">
        <f>IF(AN84=21,M84,0)</f>
        <v>0</v>
      </c>
      <c r="AN84" s="137">
        <v>21</v>
      </c>
      <c r="AO84" s="137">
        <f>L84*0.440948509485095</f>
        <v>0</v>
      </c>
      <c r="AP84" s="137">
        <f>L84*(1-0.440948509485095)</f>
        <v>0</v>
      </c>
      <c r="AQ84" s="139" t="s">
        <v>2</v>
      </c>
      <c r="AV84" s="137">
        <f>AW84+AX84</f>
        <v>0</v>
      </c>
      <c r="AW84" s="137">
        <f>K84*AO84</f>
        <v>0</v>
      </c>
      <c r="AX84" s="137">
        <f>K84*AP84</f>
        <v>0</v>
      </c>
      <c r="AY84" s="139" t="s">
        <v>1859</v>
      </c>
      <c r="AZ84" s="139" t="s">
        <v>1858</v>
      </c>
      <c r="BA84" s="138" t="s">
        <v>1336</v>
      </c>
      <c r="BC84" s="137">
        <f>AW84+AX84</f>
        <v>0</v>
      </c>
      <c r="BD84" s="137">
        <f>L84/(100-BE84)*100</f>
        <v>0</v>
      </c>
      <c r="BE84" s="137">
        <v>0</v>
      </c>
      <c r="BF84" s="137">
        <f>84</f>
        <v>84</v>
      </c>
      <c r="BH84" s="137">
        <f>K84*AO84</f>
        <v>0</v>
      </c>
      <c r="BI84" s="137">
        <f>K84*AP84</f>
        <v>0</v>
      </c>
      <c r="BJ84" s="137">
        <f>K84*L84</f>
        <v>0</v>
      </c>
      <c r="BK84" s="137" t="s">
        <v>442</v>
      </c>
      <c r="BL84" s="137">
        <v>34</v>
      </c>
    </row>
    <row r="85" spans="1:64" ht="14.65" customHeight="1">
      <c r="A85" s="130"/>
      <c r="D85" s="251" t="s">
        <v>1888</v>
      </c>
      <c r="E85" s="251"/>
      <c r="F85" s="251"/>
      <c r="G85" s="251"/>
      <c r="H85" s="251"/>
      <c r="I85" s="251"/>
      <c r="J85" s="251"/>
      <c r="K85" s="251"/>
      <c r="L85" s="251"/>
      <c r="M85" s="251"/>
      <c r="N85" s="251"/>
      <c r="O85" s="251"/>
      <c r="P85" s="130"/>
    </row>
    <row r="86" spans="1:64">
      <c r="A86" s="130"/>
      <c r="D86" s="157" t="s">
        <v>1887</v>
      </c>
      <c r="I86" s="156"/>
      <c r="K86" s="155">
        <v>1.4</v>
      </c>
      <c r="O86" s="154"/>
      <c r="P86" s="130"/>
    </row>
    <row r="87" spans="1:64">
      <c r="A87" s="142" t="s">
        <v>300</v>
      </c>
      <c r="B87" s="141" t="s">
        <v>1339</v>
      </c>
      <c r="C87" s="141" t="s">
        <v>1886</v>
      </c>
      <c r="D87" s="243" t="s">
        <v>1885</v>
      </c>
      <c r="E87" s="243"/>
      <c r="F87" s="243"/>
      <c r="G87" s="243"/>
      <c r="H87" s="243"/>
      <c r="I87" s="243"/>
      <c r="J87" s="141" t="s">
        <v>691</v>
      </c>
      <c r="K87" s="137">
        <v>2.2000000000000002</v>
      </c>
      <c r="L87" s="203">
        <v>0</v>
      </c>
      <c r="M87" s="137">
        <f>K87*L87</f>
        <v>0</v>
      </c>
      <c r="N87" s="137">
        <v>1.3729999999999999E-2</v>
      </c>
      <c r="O87" s="140" t="s">
        <v>1340</v>
      </c>
      <c r="P87" s="130"/>
      <c r="Z87" s="137">
        <f>IF(AQ87="5",BJ87,0)</f>
        <v>0</v>
      </c>
      <c r="AB87" s="137">
        <f>IF(AQ87="1",BH87,0)</f>
        <v>0</v>
      </c>
      <c r="AC87" s="137">
        <f>IF(AQ87="1",BI87,0)</f>
        <v>0</v>
      </c>
      <c r="AD87" s="137">
        <f>IF(AQ87="7",BH87,0)</f>
        <v>0</v>
      </c>
      <c r="AE87" s="137">
        <f>IF(AQ87="7",BI87,0)</f>
        <v>0</v>
      </c>
      <c r="AF87" s="137">
        <f>IF(AQ87="2",BH87,0)</f>
        <v>0</v>
      </c>
      <c r="AG87" s="137">
        <f>IF(AQ87="2",BI87,0)</f>
        <v>0</v>
      </c>
      <c r="AH87" s="137">
        <f>IF(AQ87="0",BJ87,0)</f>
        <v>0</v>
      </c>
      <c r="AI87" s="138" t="s">
        <v>1339</v>
      </c>
      <c r="AJ87" s="137">
        <f>IF(AN87=0,M87,0)</f>
        <v>0</v>
      </c>
      <c r="AK87" s="137">
        <f>IF(AN87=15,M87,0)</f>
        <v>0</v>
      </c>
      <c r="AL87" s="137">
        <f>IF(AN87=21,M87,0)</f>
        <v>0</v>
      </c>
      <c r="AN87" s="137">
        <v>21</v>
      </c>
      <c r="AO87" s="137">
        <f>L87*0.405366430260047</f>
        <v>0</v>
      </c>
      <c r="AP87" s="137">
        <f>L87*(1-0.405366430260047)</f>
        <v>0</v>
      </c>
      <c r="AQ87" s="139" t="s">
        <v>2</v>
      </c>
      <c r="AV87" s="137">
        <f>AW87+AX87</f>
        <v>0</v>
      </c>
      <c r="AW87" s="137">
        <f>K87*AO87</f>
        <v>0</v>
      </c>
      <c r="AX87" s="137">
        <f>K87*AP87</f>
        <v>0</v>
      </c>
      <c r="AY87" s="139" t="s">
        <v>1859</v>
      </c>
      <c r="AZ87" s="139" t="s">
        <v>1858</v>
      </c>
      <c r="BA87" s="138" t="s">
        <v>1336</v>
      </c>
      <c r="BC87" s="137">
        <f>AW87+AX87</f>
        <v>0</v>
      </c>
      <c r="BD87" s="137">
        <f>L87/(100-BE87)*100</f>
        <v>0</v>
      </c>
      <c r="BE87" s="137">
        <v>0</v>
      </c>
      <c r="BF87" s="137">
        <f>87</f>
        <v>87</v>
      </c>
      <c r="BH87" s="137">
        <f>K87*AO87</f>
        <v>0</v>
      </c>
      <c r="BI87" s="137">
        <f>K87*AP87</f>
        <v>0</v>
      </c>
      <c r="BJ87" s="137">
        <f>K87*L87</f>
        <v>0</v>
      </c>
      <c r="BK87" s="137" t="s">
        <v>442</v>
      </c>
      <c r="BL87" s="137">
        <v>34</v>
      </c>
    </row>
    <row r="88" spans="1:64" ht="14.65" customHeight="1">
      <c r="A88" s="130"/>
      <c r="D88" s="251" t="s">
        <v>1884</v>
      </c>
      <c r="E88" s="251"/>
      <c r="F88" s="251"/>
      <c r="G88" s="251"/>
      <c r="H88" s="251"/>
      <c r="I88" s="251"/>
      <c r="J88" s="251"/>
      <c r="K88" s="251"/>
      <c r="L88" s="251"/>
      <c r="M88" s="251"/>
      <c r="N88" s="251"/>
      <c r="O88" s="251"/>
      <c r="P88" s="130"/>
    </row>
    <row r="89" spans="1:64">
      <c r="A89" s="130"/>
      <c r="D89" s="157" t="s">
        <v>1883</v>
      </c>
      <c r="I89" s="156"/>
      <c r="K89" s="155">
        <v>2.2000000000000002</v>
      </c>
      <c r="O89" s="154"/>
      <c r="P89" s="130"/>
    </row>
    <row r="90" spans="1:64">
      <c r="A90" s="142" t="s">
        <v>298</v>
      </c>
      <c r="B90" s="141" t="s">
        <v>1339</v>
      </c>
      <c r="C90" s="141" t="s">
        <v>1882</v>
      </c>
      <c r="D90" s="243" t="s">
        <v>1881</v>
      </c>
      <c r="E90" s="243"/>
      <c r="F90" s="243"/>
      <c r="G90" s="243"/>
      <c r="H90" s="243"/>
      <c r="I90" s="243"/>
      <c r="J90" s="141" t="s">
        <v>691</v>
      </c>
      <c r="K90" s="137">
        <v>2.2000000000000002</v>
      </c>
      <c r="L90" s="203">
        <v>0</v>
      </c>
      <c r="M90" s="137">
        <f>K90*L90</f>
        <v>0</v>
      </c>
      <c r="N90" s="137">
        <v>1.81E-3</v>
      </c>
      <c r="O90" s="140" t="s">
        <v>1340</v>
      </c>
      <c r="P90" s="130"/>
      <c r="Z90" s="137">
        <f>IF(AQ90="5",BJ90,0)</f>
        <v>0</v>
      </c>
      <c r="AB90" s="137">
        <f>IF(AQ90="1",BH90,0)</f>
        <v>0</v>
      </c>
      <c r="AC90" s="137">
        <f>IF(AQ90="1",BI90,0)</f>
        <v>0</v>
      </c>
      <c r="AD90" s="137">
        <f>IF(AQ90="7",BH90,0)</f>
        <v>0</v>
      </c>
      <c r="AE90" s="137">
        <f>IF(AQ90="7",BI90,0)</f>
        <v>0</v>
      </c>
      <c r="AF90" s="137">
        <f>IF(AQ90="2",BH90,0)</f>
        <v>0</v>
      </c>
      <c r="AG90" s="137">
        <f>IF(AQ90="2",BI90,0)</f>
        <v>0</v>
      </c>
      <c r="AH90" s="137">
        <f>IF(AQ90="0",BJ90,0)</f>
        <v>0</v>
      </c>
      <c r="AI90" s="138" t="s">
        <v>1339</v>
      </c>
      <c r="AJ90" s="137">
        <f>IF(AN90=0,M90,0)</f>
        <v>0</v>
      </c>
      <c r="AK90" s="137">
        <f>IF(AN90=15,M90,0)</f>
        <v>0</v>
      </c>
      <c r="AL90" s="137">
        <f>IF(AN90=21,M90,0)</f>
        <v>0</v>
      </c>
      <c r="AN90" s="137">
        <v>21</v>
      </c>
      <c r="AO90" s="137">
        <f>L90*0.656107660455487</f>
        <v>0</v>
      </c>
      <c r="AP90" s="137">
        <f>L90*(1-0.656107660455487)</f>
        <v>0</v>
      </c>
      <c r="AQ90" s="139" t="s">
        <v>2</v>
      </c>
      <c r="AV90" s="137">
        <f>AW90+AX90</f>
        <v>0</v>
      </c>
      <c r="AW90" s="137">
        <f>K90*AO90</f>
        <v>0</v>
      </c>
      <c r="AX90" s="137">
        <f>K90*AP90</f>
        <v>0</v>
      </c>
      <c r="AY90" s="139" t="s">
        <v>1859</v>
      </c>
      <c r="AZ90" s="139" t="s">
        <v>1858</v>
      </c>
      <c r="BA90" s="138" t="s">
        <v>1336</v>
      </c>
      <c r="BC90" s="137">
        <f>AW90+AX90</f>
        <v>0</v>
      </c>
      <c r="BD90" s="137">
        <f>L90/(100-BE90)*100</f>
        <v>0</v>
      </c>
      <c r="BE90" s="137">
        <v>0</v>
      </c>
      <c r="BF90" s="137">
        <f>90</f>
        <v>90</v>
      </c>
      <c r="BH90" s="137">
        <f>K90*AO90</f>
        <v>0</v>
      </c>
      <c r="BI90" s="137">
        <f>K90*AP90</f>
        <v>0</v>
      </c>
      <c r="BJ90" s="137">
        <f>K90*L90</f>
        <v>0</v>
      </c>
      <c r="BK90" s="137" t="s">
        <v>442</v>
      </c>
      <c r="BL90" s="137">
        <v>34</v>
      </c>
    </row>
    <row r="91" spans="1:64">
      <c r="A91" s="130"/>
      <c r="D91" s="157" t="s">
        <v>1880</v>
      </c>
      <c r="I91" s="156"/>
      <c r="K91" s="155">
        <v>2.2000000000000002</v>
      </c>
      <c r="O91" s="154"/>
      <c r="P91" s="130"/>
    </row>
    <row r="92" spans="1:64">
      <c r="A92" s="142" t="s">
        <v>296</v>
      </c>
      <c r="B92" s="141" t="s">
        <v>1339</v>
      </c>
      <c r="C92" s="141" t="s">
        <v>1879</v>
      </c>
      <c r="D92" s="243" t="s">
        <v>1878</v>
      </c>
      <c r="E92" s="243"/>
      <c r="F92" s="243"/>
      <c r="G92" s="243"/>
      <c r="H92" s="243"/>
      <c r="I92" s="243"/>
      <c r="J92" s="141" t="s">
        <v>722</v>
      </c>
      <c r="K92" s="137">
        <v>2</v>
      </c>
      <c r="L92" s="203">
        <v>0</v>
      </c>
      <c r="M92" s="137">
        <f>K92*L92</f>
        <v>0</v>
      </c>
      <c r="N92" s="137">
        <v>0</v>
      </c>
      <c r="O92" s="140" t="s">
        <v>1340</v>
      </c>
      <c r="P92" s="130"/>
      <c r="Z92" s="137">
        <f>IF(AQ92="5",BJ92,0)</f>
        <v>0</v>
      </c>
      <c r="AB92" s="137">
        <f>IF(AQ92="1",BH92,0)</f>
        <v>0</v>
      </c>
      <c r="AC92" s="137">
        <f>IF(AQ92="1",BI92,0)</f>
        <v>0</v>
      </c>
      <c r="AD92" s="137">
        <f>IF(AQ92="7",BH92,0)</f>
        <v>0</v>
      </c>
      <c r="AE92" s="137">
        <f>IF(AQ92="7",BI92,0)</f>
        <v>0</v>
      </c>
      <c r="AF92" s="137">
        <f>IF(AQ92="2",BH92,0)</f>
        <v>0</v>
      </c>
      <c r="AG92" s="137">
        <f>IF(AQ92="2",BI92,0)</f>
        <v>0</v>
      </c>
      <c r="AH92" s="137">
        <f>IF(AQ92="0",BJ92,0)</f>
        <v>0</v>
      </c>
      <c r="AI92" s="138" t="s">
        <v>1339</v>
      </c>
      <c r="AJ92" s="137">
        <f>IF(AN92=0,M92,0)</f>
        <v>0</v>
      </c>
      <c r="AK92" s="137">
        <f>IF(AN92=15,M92,0)</f>
        <v>0</v>
      </c>
      <c r="AL92" s="137">
        <f>IF(AN92=21,M92,0)</f>
        <v>0</v>
      </c>
      <c r="AN92" s="137">
        <v>21</v>
      </c>
      <c r="AO92" s="137">
        <f>L92*0</f>
        <v>0</v>
      </c>
      <c r="AP92" s="137">
        <f>L92*(1-0)</f>
        <v>0</v>
      </c>
      <c r="AQ92" s="139" t="s">
        <v>2</v>
      </c>
      <c r="AV92" s="137">
        <f>AW92+AX92</f>
        <v>0</v>
      </c>
      <c r="AW92" s="137">
        <f>K92*AO92</f>
        <v>0</v>
      </c>
      <c r="AX92" s="137">
        <f>K92*AP92</f>
        <v>0</v>
      </c>
      <c r="AY92" s="139" t="s">
        <v>1859</v>
      </c>
      <c r="AZ92" s="139" t="s">
        <v>1858</v>
      </c>
      <c r="BA92" s="138" t="s">
        <v>1336</v>
      </c>
      <c r="BC92" s="137">
        <f>AW92+AX92</f>
        <v>0</v>
      </c>
      <c r="BD92" s="137">
        <f>L92/(100-BE92)*100</f>
        <v>0</v>
      </c>
      <c r="BE92" s="137">
        <v>0</v>
      </c>
      <c r="BF92" s="137">
        <f>92</f>
        <v>92</v>
      </c>
      <c r="BH92" s="137">
        <f>K92*AO92</f>
        <v>0</v>
      </c>
      <c r="BI92" s="137">
        <f>K92*AP92</f>
        <v>0</v>
      </c>
      <c r="BJ92" s="137">
        <f>K92*L92</f>
        <v>0</v>
      </c>
      <c r="BK92" s="137" t="s">
        <v>442</v>
      </c>
      <c r="BL92" s="137">
        <v>34</v>
      </c>
    </row>
    <row r="93" spans="1:64">
      <c r="A93" s="130"/>
      <c r="D93" s="157" t="s">
        <v>365</v>
      </c>
      <c r="I93" s="156"/>
      <c r="K93" s="155">
        <v>2</v>
      </c>
      <c r="O93" s="154"/>
      <c r="P93" s="130"/>
    </row>
    <row r="94" spans="1:64">
      <c r="A94" s="142" t="s">
        <v>294</v>
      </c>
      <c r="B94" s="141" t="s">
        <v>1339</v>
      </c>
      <c r="C94" s="141" t="s">
        <v>1877</v>
      </c>
      <c r="D94" s="243" t="s">
        <v>1873</v>
      </c>
      <c r="E94" s="243"/>
      <c r="F94" s="243"/>
      <c r="G94" s="243"/>
      <c r="H94" s="243"/>
      <c r="I94" s="243"/>
      <c r="J94" s="141" t="s">
        <v>722</v>
      </c>
      <c r="K94" s="137">
        <v>1</v>
      </c>
      <c r="L94" s="203">
        <v>0</v>
      </c>
      <c r="M94" s="137">
        <f>K94*L94</f>
        <v>0</v>
      </c>
      <c r="N94" s="137">
        <v>2.1250000000000002E-2</v>
      </c>
      <c r="O94" s="140" t="s">
        <v>1340</v>
      </c>
      <c r="P94" s="130"/>
      <c r="Z94" s="137">
        <f>IF(AQ94="5",BJ94,0)</f>
        <v>0</v>
      </c>
      <c r="AB94" s="137">
        <f>IF(AQ94="1",BH94,0)</f>
        <v>0</v>
      </c>
      <c r="AC94" s="137">
        <f>IF(AQ94="1",BI94,0)</f>
        <v>0</v>
      </c>
      <c r="AD94" s="137">
        <f>IF(AQ94="7",BH94,0)</f>
        <v>0</v>
      </c>
      <c r="AE94" s="137">
        <f>IF(AQ94="7",BI94,0)</f>
        <v>0</v>
      </c>
      <c r="AF94" s="137">
        <f>IF(AQ94="2",BH94,0)</f>
        <v>0</v>
      </c>
      <c r="AG94" s="137">
        <f>IF(AQ94="2",BI94,0)</f>
        <v>0</v>
      </c>
      <c r="AH94" s="137">
        <f>IF(AQ94="0",BJ94,0)</f>
        <v>0</v>
      </c>
      <c r="AI94" s="138" t="s">
        <v>1339</v>
      </c>
      <c r="AJ94" s="137">
        <f>IF(AN94=0,M94,0)</f>
        <v>0</v>
      </c>
      <c r="AK94" s="137">
        <f>IF(AN94=15,M94,0)</f>
        <v>0</v>
      </c>
      <c r="AL94" s="137">
        <f>IF(AN94=21,M94,0)</f>
        <v>0</v>
      </c>
      <c r="AN94" s="137">
        <v>21</v>
      </c>
      <c r="AO94" s="137">
        <f>L94*0.914983070636311</f>
        <v>0</v>
      </c>
      <c r="AP94" s="137">
        <f>L94*(1-0.914983070636311)</f>
        <v>0</v>
      </c>
      <c r="AQ94" s="139" t="s">
        <v>2</v>
      </c>
      <c r="AV94" s="137">
        <f>AW94+AX94</f>
        <v>0</v>
      </c>
      <c r="AW94" s="137">
        <f>K94*AO94</f>
        <v>0</v>
      </c>
      <c r="AX94" s="137">
        <f>K94*AP94</f>
        <v>0</v>
      </c>
      <c r="AY94" s="139" t="s">
        <v>1859</v>
      </c>
      <c r="AZ94" s="139" t="s">
        <v>1858</v>
      </c>
      <c r="BA94" s="138" t="s">
        <v>1336</v>
      </c>
      <c r="BC94" s="137">
        <f>AW94+AX94</f>
        <v>0</v>
      </c>
      <c r="BD94" s="137">
        <f>L94/(100-BE94)*100</f>
        <v>0</v>
      </c>
      <c r="BE94" s="137">
        <v>0</v>
      </c>
      <c r="BF94" s="137">
        <f>94</f>
        <v>94</v>
      </c>
      <c r="BH94" s="137">
        <f>K94*AO94</f>
        <v>0</v>
      </c>
      <c r="BI94" s="137">
        <f>K94*AP94</f>
        <v>0</v>
      </c>
      <c r="BJ94" s="137">
        <f>K94*L94</f>
        <v>0</v>
      </c>
      <c r="BK94" s="137" t="s">
        <v>442</v>
      </c>
      <c r="BL94" s="137">
        <v>34</v>
      </c>
    </row>
    <row r="95" spans="1:64" ht="14.65" customHeight="1">
      <c r="A95" s="130"/>
      <c r="D95" s="251" t="s">
        <v>1876</v>
      </c>
      <c r="E95" s="251"/>
      <c r="F95" s="251"/>
      <c r="G95" s="251"/>
      <c r="H95" s="251"/>
      <c r="I95" s="251"/>
      <c r="J95" s="251"/>
      <c r="K95" s="251"/>
      <c r="L95" s="251"/>
      <c r="M95" s="251"/>
      <c r="N95" s="251"/>
      <c r="O95" s="251"/>
      <c r="P95" s="130"/>
    </row>
    <row r="96" spans="1:64">
      <c r="A96" s="130"/>
      <c r="D96" s="157" t="s">
        <v>1875</v>
      </c>
      <c r="I96" s="156"/>
      <c r="K96" s="155">
        <v>1</v>
      </c>
      <c r="O96" s="154"/>
      <c r="P96" s="130"/>
    </row>
    <row r="97" spans="1:64">
      <c r="A97" s="142" t="s">
        <v>292</v>
      </c>
      <c r="B97" s="141" t="s">
        <v>1339</v>
      </c>
      <c r="C97" s="141" t="s">
        <v>1874</v>
      </c>
      <c r="D97" s="243" t="s">
        <v>1873</v>
      </c>
      <c r="E97" s="243"/>
      <c r="F97" s="243"/>
      <c r="G97" s="243"/>
      <c r="H97" s="243"/>
      <c r="I97" s="243"/>
      <c r="J97" s="141" t="s">
        <v>722</v>
      </c>
      <c r="K97" s="137">
        <v>1</v>
      </c>
      <c r="L97" s="203">
        <v>0</v>
      </c>
      <c r="M97" s="137">
        <f>K97*L97</f>
        <v>0</v>
      </c>
      <c r="N97" s="137">
        <v>2.145E-2</v>
      </c>
      <c r="O97" s="140" t="s">
        <v>1340</v>
      </c>
      <c r="P97" s="130"/>
      <c r="Z97" s="137">
        <f>IF(AQ97="5",BJ97,0)</f>
        <v>0</v>
      </c>
      <c r="AB97" s="137">
        <f>IF(AQ97="1",BH97,0)</f>
        <v>0</v>
      </c>
      <c r="AC97" s="137">
        <f>IF(AQ97="1",BI97,0)</f>
        <v>0</v>
      </c>
      <c r="AD97" s="137">
        <f>IF(AQ97="7",BH97,0)</f>
        <v>0</v>
      </c>
      <c r="AE97" s="137">
        <f>IF(AQ97="7",BI97,0)</f>
        <v>0</v>
      </c>
      <c r="AF97" s="137">
        <f>IF(AQ97="2",BH97,0)</f>
        <v>0</v>
      </c>
      <c r="AG97" s="137">
        <f>IF(AQ97="2",BI97,0)</f>
        <v>0</v>
      </c>
      <c r="AH97" s="137">
        <f>IF(AQ97="0",BJ97,0)</f>
        <v>0</v>
      </c>
      <c r="AI97" s="138" t="s">
        <v>1339</v>
      </c>
      <c r="AJ97" s="137">
        <f>IF(AN97=0,M97,0)</f>
        <v>0</v>
      </c>
      <c r="AK97" s="137">
        <f>IF(AN97=15,M97,0)</f>
        <v>0</v>
      </c>
      <c r="AL97" s="137">
        <f>IF(AN97=21,M97,0)</f>
        <v>0</v>
      </c>
      <c r="AN97" s="137">
        <v>21</v>
      </c>
      <c r="AO97" s="137">
        <f>L97*0.925277578245254</f>
        <v>0</v>
      </c>
      <c r="AP97" s="137">
        <f>L97*(1-0.925277578245254)</f>
        <v>0</v>
      </c>
      <c r="AQ97" s="139" t="s">
        <v>2</v>
      </c>
      <c r="AV97" s="137">
        <f>AW97+AX97</f>
        <v>0</v>
      </c>
      <c r="AW97" s="137">
        <f>K97*AO97</f>
        <v>0</v>
      </c>
      <c r="AX97" s="137">
        <f>K97*AP97</f>
        <v>0</v>
      </c>
      <c r="AY97" s="139" t="s">
        <v>1859</v>
      </c>
      <c r="AZ97" s="139" t="s">
        <v>1858</v>
      </c>
      <c r="BA97" s="138" t="s">
        <v>1336</v>
      </c>
      <c r="BC97" s="137">
        <f>AW97+AX97</f>
        <v>0</v>
      </c>
      <c r="BD97" s="137">
        <f>L97/(100-BE97)*100</f>
        <v>0</v>
      </c>
      <c r="BE97" s="137">
        <v>0</v>
      </c>
      <c r="BF97" s="137">
        <f>97</f>
        <v>97</v>
      </c>
      <c r="BH97" s="137">
        <f>K97*AO97</f>
        <v>0</v>
      </c>
      <c r="BI97" s="137">
        <f>K97*AP97</f>
        <v>0</v>
      </c>
      <c r="BJ97" s="137">
        <f>K97*L97</f>
        <v>0</v>
      </c>
      <c r="BK97" s="137" t="s">
        <v>442</v>
      </c>
      <c r="BL97" s="137">
        <v>34</v>
      </c>
    </row>
    <row r="98" spans="1:64" ht="14.65" customHeight="1">
      <c r="A98" s="130"/>
      <c r="D98" s="251" t="s">
        <v>1872</v>
      </c>
      <c r="E98" s="251"/>
      <c r="F98" s="251"/>
      <c r="G98" s="251"/>
      <c r="H98" s="251"/>
      <c r="I98" s="251"/>
      <c r="J98" s="251"/>
      <c r="K98" s="251"/>
      <c r="L98" s="251"/>
      <c r="M98" s="251"/>
      <c r="N98" s="251"/>
      <c r="O98" s="251"/>
      <c r="P98" s="130"/>
    </row>
    <row r="99" spans="1:64">
      <c r="A99" s="130"/>
      <c r="D99" s="157" t="s">
        <v>1871</v>
      </c>
      <c r="I99" s="156"/>
      <c r="K99" s="155">
        <v>1</v>
      </c>
      <c r="O99" s="154"/>
      <c r="P99" s="130"/>
    </row>
    <row r="100" spans="1:64">
      <c r="A100" s="142" t="s">
        <v>290</v>
      </c>
      <c r="B100" s="141" t="s">
        <v>1339</v>
      </c>
      <c r="C100" s="141" t="s">
        <v>1870</v>
      </c>
      <c r="D100" s="243" t="s">
        <v>1869</v>
      </c>
      <c r="E100" s="243"/>
      <c r="F100" s="243"/>
      <c r="G100" s="243"/>
      <c r="H100" s="243"/>
      <c r="I100" s="243"/>
      <c r="J100" s="141" t="s">
        <v>691</v>
      </c>
      <c r="K100" s="137">
        <v>163.78229999999999</v>
      </c>
      <c r="L100" s="203">
        <v>0</v>
      </c>
      <c r="M100" s="137">
        <f>K100*L100</f>
        <v>0</v>
      </c>
      <c r="N100" s="137">
        <v>1.5219999999999999E-2</v>
      </c>
      <c r="O100" s="140" t="s">
        <v>1340</v>
      </c>
      <c r="P100" s="130"/>
      <c r="Z100" s="137">
        <f>IF(AQ100="5",BJ100,0)</f>
        <v>0</v>
      </c>
      <c r="AB100" s="137">
        <f>IF(AQ100="1",BH100,0)</f>
        <v>0</v>
      </c>
      <c r="AC100" s="137">
        <f>IF(AQ100="1",BI100,0)</f>
        <v>0</v>
      </c>
      <c r="AD100" s="137">
        <f>IF(AQ100="7",BH100,0)</f>
        <v>0</v>
      </c>
      <c r="AE100" s="137">
        <f>IF(AQ100="7",BI100,0)</f>
        <v>0</v>
      </c>
      <c r="AF100" s="137">
        <f>IF(AQ100="2",BH100,0)</f>
        <v>0</v>
      </c>
      <c r="AG100" s="137">
        <f>IF(AQ100="2",BI100,0)</f>
        <v>0</v>
      </c>
      <c r="AH100" s="137">
        <f>IF(AQ100="0",BJ100,0)</f>
        <v>0</v>
      </c>
      <c r="AI100" s="138" t="s">
        <v>1339</v>
      </c>
      <c r="AJ100" s="137">
        <f>IF(AN100=0,M100,0)</f>
        <v>0</v>
      </c>
      <c r="AK100" s="137">
        <f>IF(AN100=15,M100,0)</f>
        <v>0</v>
      </c>
      <c r="AL100" s="137">
        <f>IF(AN100=21,M100,0)</f>
        <v>0</v>
      </c>
      <c r="AN100" s="137">
        <v>21</v>
      </c>
      <c r="AO100" s="137">
        <f>L100*0.404996212268622</f>
        <v>0</v>
      </c>
      <c r="AP100" s="137">
        <f>L100*(1-0.404996212268622)</f>
        <v>0</v>
      </c>
      <c r="AQ100" s="139" t="s">
        <v>2</v>
      </c>
      <c r="AV100" s="137">
        <f>AW100+AX100</f>
        <v>0</v>
      </c>
      <c r="AW100" s="137">
        <f>K100*AO100</f>
        <v>0</v>
      </c>
      <c r="AX100" s="137">
        <f>K100*AP100</f>
        <v>0</v>
      </c>
      <c r="AY100" s="139" t="s">
        <v>1859</v>
      </c>
      <c r="AZ100" s="139" t="s">
        <v>1858</v>
      </c>
      <c r="BA100" s="138" t="s">
        <v>1336</v>
      </c>
      <c r="BC100" s="137">
        <f>AW100+AX100</f>
        <v>0</v>
      </c>
      <c r="BD100" s="137">
        <f>L100/(100-BE100)*100</f>
        <v>0</v>
      </c>
      <c r="BE100" s="137">
        <v>0</v>
      </c>
      <c r="BF100" s="137">
        <f>100</f>
        <v>100</v>
      </c>
      <c r="BH100" s="137">
        <f>K100*AO100</f>
        <v>0</v>
      </c>
      <c r="BI100" s="137">
        <f>K100*AP100</f>
        <v>0</v>
      </c>
      <c r="BJ100" s="137">
        <f>K100*L100</f>
        <v>0</v>
      </c>
      <c r="BK100" s="137" t="s">
        <v>442</v>
      </c>
      <c r="BL100" s="137">
        <v>34</v>
      </c>
    </row>
    <row r="101" spans="1:64" ht="25.7" customHeight="1">
      <c r="A101" s="130"/>
      <c r="D101" s="251" t="s">
        <v>1868</v>
      </c>
      <c r="E101" s="251"/>
      <c r="F101" s="251"/>
      <c r="G101" s="251"/>
      <c r="H101" s="251"/>
      <c r="I101" s="251"/>
      <c r="J101" s="251"/>
      <c r="K101" s="251"/>
      <c r="L101" s="251"/>
      <c r="M101" s="251"/>
      <c r="N101" s="251"/>
      <c r="O101" s="251"/>
      <c r="P101" s="130"/>
    </row>
    <row r="102" spans="1:64">
      <c r="A102" s="130"/>
      <c r="D102" s="157" t="s">
        <v>1867</v>
      </c>
      <c r="I102" s="156"/>
      <c r="K102" s="155">
        <v>34.094000000000001</v>
      </c>
      <c r="O102" s="154"/>
      <c r="P102" s="130"/>
    </row>
    <row r="103" spans="1:64">
      <c r="A103" s="130"/>
      <c r="D103" s="157" t="s">
        <v>1866</v>
      </c>
      <c r="I103" s="156"/>
      <c r="K103" s="155">
        <v>61.7652</v>
      </c>
      <c r="O103" s="154"/>
      <c r="P103" s="130"/>
    </row>
    <row r="104" spans="1:64">
      <c r="A104" s="130"/>
      <c r="D104" s="157" t="s">
        <v>1865</v>
      </c>
      <c r="I104" s="156"/>
      <c r="K104" s="155">
        <v>67.923100000000005</v>
      </c>
      <c r="O104" s="154"/>
      <c r="P104" s="130"/>
    </row>
    <row r="105" spans="1:64">
      <c r="A105" s="142" t="s">
        <v>288</v>
      </c>
      <c r="B105" s="141" t="s">
        <v>1339</v>
      </c>
      <c r="C105" s="141" t="s">
        <v>1864</v>
      </c>
      <c r="D105" s="243" t="s">
        <v>1863</v>
      </c>
      <c r="E105" s="243"/>
      <c r="F105" s="243"/>
      <c r="G105" s="243"/>
      <c r="H105" s="243"/>
      <c r="I105" s="243"/>
      <c r="J105" s="141" t="s">
        <v>722</v>
      </c>
      <c r="K105" s="137">
        <v>4</v>
      </c>
      <c r="L105" s="203">
        <v>0</v>
      </c>
      <c r="M105" s="137">
        <f>K105*L105</f>
        <v>0</v>
      </c>
      <c r="N105" s="137">
        <v>0</v>
      </c>
      <c r="O105" s="140" t="s">
        <v>1340</v>
      </c>
      <c r="P105" s="130"/>
      <c r="Z105" s="137">
        <f>IF(AQ105="5",BJ105,0)</f>
        <v>0</v>
      </c>
      <c r="AB105" s="137">
        <f>IF(AQ105="1",BH105,0)</f>
        <v>0</v>
      </c>
      <c r="AC105" s="137">
        <f>IF(AQ105="1",BI105,0)</f>
        <v>0</v>
      </c>
      <c r="AD105" s="137">
        <f>IF(AQ105="7",BH105,0)</f>
        <v>0</v>
      </c>
      <c r="AE105" s="137">
        <f>IF(AQ105="7",BI105,0)</f>
        <v>0</v>
      </c>
      <c r="AF105" s="137">
        <f>IF(AQ105="2",BH105,0)</f>
        <v>0</v>
      </c>
      <c r="AG105" s="137">
        <f>IF(AQ105="2",BI105,0)</f>
        <v>0</v>
      </c>
      <c r="AH105" s="137">
        <f>IF(AQ105="0",BJ105,0)</f>
        <v>0</v>
      </c>
      <c r="AI105" s="138" t="s">
        <v>1339</v>
      </c>
      <c r="AJ105" s="137">
        <f>IF(AN105=0,M105,0)</f>
        <v>0</v>
      </c>
      <c r="AK105" s="137">
        <f>IF(AN105=15,M105,0)</f>
        <v>0</v>
      </c>
      <c r="AL105" s="137">
        <f>IF(AN105=21,M105,0)</f>
        <v>0</v>
      </c>
      <c r="AN105" s="137">
        <v>21</v>
      </c>
      <c r="AO105" s="137">
        <f>L105*0</f>
        <v>0</v>
      </c>
      <c r="AP105" s="137">
        <f>L105*(1-0)</f>
        <v>0</v>
      </c>
      <c r="AQ105" s="139" t="s">
        <v>2</v>
      </c>
      <c r="AV105" s="137">
        <f>AW105+AX105</f>
        <v>0</v>
      </c>
      <c r="AW105" s="137">
        <f>K105*AO105</f>
        <v>0</v>
      </c>
      <c r="AX105" s="137">
        <f>K105*AP105</f>
        <v>0</v>
      </c>
      <c r="AY105" s="139" t="s">
        <v>1859</v>
      </c>
      <c r="AZ105" s="139" t="s">
        <v>1858</v>
      </c>
      <c r="BA105" s="138" t="s">
        <v>1336</v>
      </c>
      <c r="BC105" s="137">
        <f>AW105+AX105</f>
        <v>0</v>
      </c>
      <c r="BD105" s="137">
        <f>L105/(100-BE105)*100</f>
        <v>0</v>
      </c>
      <c r="BE105" s="137">
        <v>0</v>
      </c>
      <c r="BF105" s="137">
        <f>105</f>
        <v>105</v>
      </c>
      <c r="BH105" s="137">
        <f>K105*AO105</f>
        <v>0</v>
      </c>
      <c r="BI105" s="137">
        <f>K105*AP105</f>
        <v>0</v>
      </c>
      <c r="BJ105" s="137">
        <f>K105*L105</f>
        <v>0</v>
      </c>
      <c r="BK105" s="137" t="s">
        <v>442</v>
      </c>
      <c r="BL105" s="137">
        <v>34</v>
      </c>
    </row>
    <row r="106" spans="1:64">
      <c r="A106" s="130"/>
      <c r="D106" s="157" t="s">
        <v>1862</v>
      </c>
      <c r="I106" s="156"/>
      <c r="K106" s="155">
        <v>4</v>
      </c>
      <c r="O106" s="154"/>
      <c r="P106" s="130"/>
    </row>
    <row r="107" spans="1:64">
      <c r="A107" s="142" t="s">
        <v>286</v>
      </c>
      <c r="B107" s="141" t="s">
        <v>1339</v>
      </c>
      <c r="C107" s="141" t="s">
        <v>1861</v>
      </c>
      <c r="D107" s="243" t="s">
        <v>1860</v>
      </c>
      <c r="E107" s="243"/>
      <c r="F107" s="243"/>
      <c r="G107" s="243"/>
      <c r="H107" s="243"/>
      <c r="I107" s="243"/>
      <c r="J107" s="141" t="s">
        <v>691</v>
      </c>
      <c r="K107" s="137">
        <v>131.6</v>
      </c>
      <c r="L107" s="203">
        <v>0</v>
      </c>
      <c r="M107" s="137">
        <f>K107*L107</f>
        <v>0</v>
      </c>
      <c r="N107" s="137">
        <v>0</v>
      </c>
      <c r="O107" s="140" t="s">
        <v>1340</v>
      </c>
      <c r="P107" s="130"/>
      <c r="Z107" s="137">
        <f>IF(AQ107="5",BJ107,0)</f>
        <v>0</v>
      </c>
      <c r="AB107" s="137">
        <f>IF(AQ107="1",BH107,0)</f>
        <v>0</v>
      </c>
      <c r="AC107" s="137">
        <f>IF(AQ107="1",BI107,0)</f>
        <v>0</v>
      </c>
      <c r="AD107" s="137">
        <f>IF(AQ107="7",BH107,0)</f>
        <v>0</v>
      </c>
      <c r="AE107" s="137">
        <f>IF(AQ107="7",BI107,0)</f>
        <v>0</v>
      </c>
      <c r="AF107" s="137">
        <f>IF(AQ107="2",BH107,0)</f>
        <v>0</v>
      </c>
      <c r="AG107" s="137">
        <f>IF(AQ107="2",BI107,0)</f>
        <v>0</v>
      </c>
      <c r="AH107" s="137">
        <f>IF(AQ107="0",BJ107,0)</f>
        <v>0</v>
      </c>
      <c r="AI107" s="138" t="s">
        <v>1339</v>
      </c>
      <c r="AJ107" s="137">
        <f>IF(AN107=0,M107,0)</f>
        <v>0</v>
      </c>
      <c r="AK107" s="137">
        <f>IF(AN107=15,M107,0)</f>
        <v>0</v>
      </c>
      <c r="AL107" s="137">
        <f>IF(AN107=21,M107,0)</f>
        <v>0</v>
      </c>
      <c r="AN107" s="137">
        <v>21</v>
      </c>
      <c r="AO107" s="137">
        <f>L107*0</f>
        <v>0</v>
      </c>
      <c r="AP107" s="137">
        <f>L107*(1-0)</f>
        <v>0</v>
      </c>
      <c r="AQ107" s="139" t="s">
        <v>2</v>
      </c>
      <c r="AV107" s="137">
        <f>AW107+AX107</f>
        <v>0</v>
      </c>
      <c r="AW107" s="137">
        <f>K107*AO107</f>
        <v>0</v>
      </c>
      <c r="AX107" s="137">
        <f>K107*AP107</f>
        <v>0</v>
      </c>
      <c r="AY107" s="139" t="s">
        <v>1859</v>
      </c>
      <c r="AZ107" s="139" t="s">
        <v>1858</v>
      </c>
      <c r="BA107" s="138" t="s">
        <v>1336</v>
      </c>
      <c r="BC107" s="137">
        <f>AW107+AX107</f>
        <v>0</v>
      </c>
      <c r="BD107" s="137">
        <f>L107/(100-BE107)*100</f>
        <v>0</v>
      </c>
      <c r="BE107" s="137">
        <v>0</v>
      </c>
      <c r="BF107" s="137">
        <f>107</f>
        <v>107</v>
      </c>
      <c r="BH107" s="137">
        <f>K107*AO107</f>
        <v>0</v>
      </c>
      <c r="BI107" s="137">
        <f>K107*AP107</f>
        <v>0</v>
      </c>
      <c r="BJ107" s="137">
        <f>K107*L107</f>
        <v>0</v>
      </c>
      <c r="BK107" s="137" t="s">
        <v>442</v>
      </c>
      <c r="BL107" s="137">
        <v>34</v>
      </c>
    </row>
    <row r="108" spans="1:64">
      <c r="A108" s="130"/>
      <c r="D108" s="157" t="s">
        <v>1857</v>
      </c>
      <c r="I108" s="156"/>
      <c r="K108" s="155">
        <v>131.6</v>
      </c>
      <c r="O108" s="154"/>
      <c r="P108" s="130"/>
    </row>
    <row r="109" spans="1:64">
      <c r="A109" s="147"/>
      <c r="B109" s="146" t="s">
        <v>1339</v>
      </c>
      <c r="C109" s="146" t="s">
        <v>260</v>
      </c>
      <c r="D109" s="252" t="s">
        <v>1856</v>
      </c>
      <c r="E109" s="252"/>
      <c r="F109" s="252"/>
      <c r="G109" s="252"/>
      <c r="H109" s="252"/>
      <c r="I109" s="252"/>
      <c r="J109" s="145" t="s">
        <v>1305</v>
      </c>
      <c r="K109" s="145" t="s">
        <v>1305</v>
      </c>
      <c r="L109" s="145" t="s">
        <v>1305</v>
      </c>
      <c r="M109" s="143">
        <f>SUM(M110:M132)</f>
        <v>0</v>
      </c>
      <c r="N109" s="138"/>
      <c r="O109" s="144"/>
      <c r="P109" s="130"/>
      <c r="AI109" s="138" t="s">
        <v>1339</v>
      </c>
      <c r="AS109" s="143">
        <f>SUM(AJ110:AJ132)</f>
        <v>0</v>
      </c>
      <c r="AT109" s="143">
        <f>SUM(AK110:AK132)</f>
        <v>0</v>
      </c>
      <c r="AU109" s="143">
        <f>SUM(AL110:AL132)</f>
        <v>0</v>
      </c>
    </row>
    <row r="110" spans="1:64">
      <c r="A110" s="142" t="s">
        <v>283</v>
      </c>
      <c r="B110" s="141" t="s">
        <v>1339</v>
      </c>
      <c r="C110" s="141" t="s">
        <v>1855</v>
      </c>
      <c r="D110" s="243" t="s">
        <v>1854</v>
      </c>
      <c r="E110" s="243"/>
      <c r="F110" s="243"/>
      <c r="G110" s="243"/>
      <c r="H110" s="243"/>
      <c r="I110" s="243"/>
      <c r="J110" s="141" t="s">
        <v>722</v>
      </c>
      <c r="K110" s="137">
        <v>3</v>
      </c>
      <c r="L110" s="203">
        <v>0</v>
      </c>
      <c r="M110" s="137">
        <f>K110*L110</f>
        <v>0</v>
      </c>
      <c r="N110" s="137">
        <v>5.0200000000000002E-2</v>
      </c>
      <c r="O110" s="140" t="s">
        <v>1340</v>
      </c>
      <c r="P110" s="130"/>
      <c r="Z110" s="137">
        <f>IF(AQ110="5",BJ110,0)</f>
        <v>0</v>
      </c>
      <c r="AB110" s="137">
        <f>IF(AQ110="1",BH110,0)</f>
        <v>0</v>
      </c>
      <c r="AC110" s="137">
        <f>IF(AQ110="1",BI110,0)</f>
        <v>0</v>
      </c>
      <c r="AD110" s="137">
        <f>IF(AQ110="7",BH110,0)</f>
        <v>0</v>
      </c>
      <c r="AE110" s="137">
        <f>IF(AQ110="7",BI110,0)</f>
        <v>0</v>
      </c>
      <c r="AF110" s="137">
        <f>IF(AQ110="2",BH110,0)</f>
        <v>0</v>
      </c>
      <c r="AG110" s="137">
        <f>IF(AQ110="2",BI110,0)</f>
        <v>0</v>
      </c>
      <c r="AH110" s="137">
        <f>IF(AQ110="0",BJ110,0)</f>
        <v>0</v>
      </c>
      <c r="AI110" s="138" t="s">
        <v>1339</v>
      </c>
      <c r="AJ110" s="137">
        <f>IF(AN110=0,M110,0)</f>
        <v>0</v>
      </c>
      <c r="AK110" s="137">
        <f>IF(AN110=15,M110,0)</f>
        <v>0</v>
      </c>
      <c r="AL110" s="137">
        <f>IF(AN110=21,M110,0)</f>
        <v>0</v>
      </c>
      <c r="AN110" s="137">
        <v>21</v>
      </c>
      <c r="AO110" s="137">
        <f>L110*0.135190311418685</f>
        <v>0</v>
      </c>
      <c r="AP110" s="137">
        <f>L110*(1-0.135190311418685)</f>
        <v>0</v>
      </c>
      <c r="AQ110" s="139" t="s">
        <v>2</v>
      </c>
      <c r="AV110" s="137">
        <f>AW110+AX110</f>
        <v>0</v>
      </c>
      <c r="AW110" s="137">
        <f>K110*AO110</f>
        <v>0</v>
      </c>
      <c r="AX110" s="137">
        <f>K110*AP110</f>
        <v>0</v>
      </c>
      <c r="AY110" s="139" t="s">
        <v>1828</v>
      </c>
      <c r="AZ110" s="139" t="s">
        <v>1827</v>
      </c>
      <c r="BA110" s="138" t="s">
        <v>1336</v>
      </c>
      <c r="BC110" s="137">
        <f>AW110+AX110</f>
        <v>0</v>
      </c>
      <c r="BD110" s="137">
        <f>L110/(100-BE110)*100</f>
        <v>0</v>
      </c>
      <c r="BE110" s="137">
        <v>0</v>
      </c>
      <c r="BF110" s="137">
        <f>110</f>
        <v>110</v>
      </c>
      <c r="BH110" s="137">
        <f>K110*AO110</f>
        <v>0</v>
      </c>
      <c r="BI110" s="137">
        <f>K110*AP110</f>
        <v>0</v>
      </c>
      <c r="BJ110" s="137">
        <f>K110*L110</f>
        <v>0</v>
      </c>
      <c r="BK110" s="137" t="s">
        <v>442</v>
      </c>
      <c r="BL110" s="137">
        <v>41</v>
      </c>
    </row>
    <row r="111" spans="1:64">
      <c r="A111" s="130"/>
      <c r="D111" s="157" t="s">
        <v>1377</v>
      </c>
      <c r="I111" s="156"/>
      <c r="K111" s="155">
        <v>3</v>
      </c>
      <c r="O111" s="154"/>
      <c r="P111" s="130"/>
    </row>
    <row r="112" spans="1:64">
      <c r="A112" s="142" t="s">
        <v>281</v>
      </c>
      <c r="B112" s="141" t="s">
        <v>1339</v>
      </c>
      <c r="C112" s="141" t="s">
        <v>1853</v>
      </c>
      <c r="D112" s="243" t="s">
        <v>1852</v>
      </c>
      <c r="E112" s="243"/>
      <c r="F112" s="243"/>
      <c r="G112" s="243"/>
      <c r="H112" s="243"/>
      <c r="I112" s="243"/>
      <c r="J112" s="141" t="s">
        <v>691</v>
      </c>
      <c r="K112" s="137">
        <v>0.6</v>
      </c>
      <c r="L112" s="203">
        <v>0</v>
      </c>
      <c r="M112" s="137">
        <f>K112*L112</f>
        <v>0</v>
      </c>
      <c r="N112" s="137">
        <v>4.8099999999999997E-2</v>
      </c>
      <c r="O112" s="140" t="s">
        <v>1340</v>
      </c>
      <c r="P112" s="130"/>
      <c r="Z112" s="137">
        <f>IF(AQ112="5",BJ112,0)</f>
        <v>0</v>
      </c>
      <c r="AB112" s="137">
        <f>IF(AQ112="1",BH112,0)</f>
        <v>0</v>
      </c>
      <c r="AC112" s="137">
        <f>IF(AQ112="1",BI112,0)</f>
        <v>0</v>
      </c>
      <c r="AD112" s="137">
        <f>IF(AQ112="7",BH112,0)</f>
        <v>0</v>
      </c>
      <c r="AE112" s="137">
        <f>IF(AQ112="7",BI112,0)</f>
        <v>0</v>
      </c>
      <c r="AF112" s="137">
        <f>IF(AQ112="2",BH112,0)</f>
        <v>0</v>
      </c>
      <c r="AG112" s="137">
        <f>IF(AQ112="2",BI112,0)</f>
        <v>0</v>
      </c>
      <c r="AH112" s="137">
        <f>IF(AQ112="0",BJ112,0)</f>
        <v>0</v>
      </c>
      <c r="AI112" s="138" t="s">
        <v>1339</v>
      </c>
      <c r="AJ112" s="137">
        <f>IF(AN112=0,M112,0)</f>
        <v>0</v>
      </c>
      <c r="AK112" s="137">
        <f>IF(AN112=15,M112,0)</f>
        <v>0</v>
      </c>
      <c r="AL112" s="137">
        <f>IF(AN112=21,M112,0)</f>
        <v>0</v>
      </c>
      <c r="AN112" s="137">
        <v>21</v>
      </c>
      <c r="AO112" s="137">
        <f>L112*0.505251121775437</f>
        <v>0</v>
      </c>
      <c r="AP112" s="137">
        <f>L112*(1-0.505251121775437)</f>
        <v>0</v>
      </c>
      <c r="AQ112" s="139" t="s">
        <v>2</v>
      </c>
      <c r="AV112" s="137">
        <f>AW112+AX112</f>
        <v>0</v>
      </c>
      <c r="AW112" s="137">
        <f>K112*AO112</f>
        <v>0</v>
      </c>
      <c r="AX112" s="137">
        <f>K112*AP112</f>
        <v>0</v>
      </c>
      <c r="AY112" s="139" t="s">
        <v>1828</v>
      </c>
      <c r="AZ112" s="139" t="s">
        <v>1827</v>
      </c>
      <c r="BA112" s="138" t="s">
        <v>1336</v>
      </c>
      <c r="BC112" s="137">
        <f>AW112+AX112</f>
        <v>0</v>
      </c>
      <c r="BD112" s="137">
        <f>L112/(100-BE112)*100</f>
        <v>0</v>
      </c>
      <c r="BE112" s="137">
        <v>0</v>
      </c>
      <c r="BF112" s="137">
        <f>112</f>
        <v>112</v>
      </c>
      <c r="BH112" s="137">
        <f>K112*AO112</f>
        <v>0</v>
      </c>
      <c r="BI112" s="137">
        <f>K112*AP112</f>
        <v>0</v>
      </c>
      <c r="BJ112" s="137">
        <f>K112*L112</f>
        <v>0</v>
      </c>
      <c r="BK112" s="137" t="s">
        <v>442</v>
      </c>
      <c r="BL112" s="137">
        <v>41</v>
      </c>
    </row>
    <row r="113" spans="1:64">
      <c r="A113" s="130"/>
      <c r="D113" s="157" t="s">
        <v>1851</v>
      </c>
      <c r="I113" s="156"/>
      <c r="K113" s="155">
        <v>0.6</v>
      </c>
      <c r="O113" s="154"/>
      <c r="P113" s="130"/>
    </row>
    <row r="114" spans="1:64">
      <c r="A114" s="142" t="s">
        <v>279</v>
      </c>
      <c r="B114" s="141" t="s">
        <v>1339</v>
      </c>
      <c r="C114" s="141" t="s">
        <v>1850</v>
      </c>
      <c r="D114" s="243" t="s">
        <v>1849</v>
      </c>
      <c r="E114" s="243"/>
      <c r="F114" s="243"/>
      <c r="G114" s="243"/>
      <c r="H114" s="243"/>
      <c r="I114" s="243"/>
      <c r="J114" s="141" t="s">
        <v>691</v>
      </c>
      <c r="K114" s="137">
        <v>0.6</v>
      </c>
      <c r="L114" s="203">
        <v>0</v>
      </c>
      <c r="M114" s="137">
        <f>K114*L114</f>
        <v>0</v>
      </c>
      <c r="N114" s="137">
        <v>0</v>
      </c>
      <c r="O114" s="140" t="s">
        <v>1340</v>
      </c>
      <c r="P114" s="130"/>
      <c r="Z114" s="137">
        <f>IF(AQ114="5",BJ114,0)</f>
        <v>0</v>
      </c>
      <c r="AB114" s="137">
        <f>IF(AQ114="1",BH114,0)</f>
        <v>0</v>
      </c>
      <c r="AC114" s="137">
        <f>IF(AQ114="1",BI114,0)</f>
        <v>0</v>
      </c>
      <c r="AD114" s="137">
        <f>IF(AQ114="7",BH114,0)</f>
        <v>0</v>
      </c>
      <c r="AE114" s="137">
        <f>IF(AQ114="7",BI114,0)</f>
        <v>0</v>
      </c>
      <c r="AF114" s="137">
        <f>IF(AQ114="2",BH114,0)</f>
        <v>0</v>
      </c>
      <c r="AG114" s="137">
        <f>IF(AQ114="2",BI114,0)</f>
        <v>0</v>
      </c>
      <c r="AH114" s="137">
        <f>IF(AQ114="0",BJ114,0)</f>
        <v>0</v>
      </c>
      <c r="AI114" s="138" t="s">
        <v>1339</v>
      </c>
      <c r="AJ114" s="137">
        <f>IF(AN114=0,M114,0)</f>
        <v>0</v>
      </c>
      <c r="AK114" s="137">
        <f>IF(AN114=15,M114,0)</f>
        <v>0</v>
      </c>
      <c r="AL114" s="137">
        <f>IF(AN114=21,M114,0)</f>
        <v>0</v>
      </c>
      <c r="AN114" s="137">
        <v>21</v>
      </c>
      <c r="AO114" s="137">
        <f>L114*0</f>
        <v>0</v>
      </c>
      <c r="AP114" s="137">
        <f>L114*(1-0)</f>
        <v>0</v>
      </c>
      <c r="AQ114" s="139" t="s">
        <v>2</v>
      </c>
      <c r="AV114" s="137">
        <f>AW114+AX114</f>
        <v>0</v>
      </c>
      <c r="AW114" s="137">
        <f>K114*AO114</f>
        <v>0</v>
      </c>
      <c r="AX114" s="137">
        <f>K114*AP114</f>
        <v>0</v>
      </c>
      <c r="AY114" s="139" t="s">
        <v>1828</v>
      </c>
      <c r="AZ114" s="139" t="s">
        <v>1827</v>
      </c>
      <c r="BA114" s="138" t="s">
        <v>1336</v>
      </c>
      <c r="BC114" s="137">
        <f>AW114+AX114</f>
        <v>0</v>
      </c>
      <c r="BD114" s="137">
        <f>L114/(100-BE114)*100</f>
        <v>0</v>
      </c>
      <c r="BE114" s="137">
        <v>0</v>
      </c>
      <c r="BF114" s="137">
        <f>114</f>
        <v>114</v>
      </c>
      <c r="BH114" s="137">
        <f>K114*AO114</f>
        <v>0</v>
      </c>
      <c r="BI114" s="137">
        <f>K114*AP114</f>
        <v>0</v>
      </c>
      <c r="BJ114" s="137">
        <f>K114*L114</f>
        <v>0</v>
      </c>
      <c r="BK114" s="137" t="s">
        <v>442</v>
      </c>
      <c r="BL114" s="137">
        <v>41</v>
      </c>
    </row>
    <row r="115" spans="1:64">
      <c r="A115" s="130"/>
      <c r="D115" s="157" t="s">
        <v>1848</v>
      </c>
      <c r="I115" s="156"/>
      <c r="K115" s="155">
        <v>0.6</v>
      </c>
      <c r="O115" s="154"/>
      <c r="P115" s="130"/>
    </row>
    <row r="116" spans="1:64">
      <c r="A116" s="142" t="s">
        <v>277</v>
      </c>
      <c r="B116" s="141" t="s">
        <v>1339</v>
      </c>
      <c r="C116" s="141" t="s">
        <v>1847</v>
      </c>
      <c r="D116" s="243" t="s">
        <v>1846</v>
      </c>
      <c r="E116" s="243"/>
      <c r="F116" s="243"/>
      <c r="G116" s="243"/>
      <c r="H116" s="243"/>
      <c r="I116" s="243"/>
      <c r="J116" s="141" t="s">
        <v>722</v>
      </c>
      <c r="K116" s="137">
        <v>8</v>
      </c>
      <c r="L116" s="203">
        <v>0</v>
      </c>
      <c r="M116" s="137">
        <f>K116*L116</f>
        <v>0</v>
      </c>
      <c r="N116" s="137">
        <v>5.4399999999999997E-2</v>
      </c>
      <c r="O116" s="140" t="s">
        <v>1340</v>
      </c>
      <c r="P116" s="130"/>
      <c r="Z116" s="137">
        <f>IF(AQ116="5",BJ116,0)</f>
        <v>0</v>
      </c>
      <c r="AB116" s="137">
        <f>IF(AQ116="1",BH116,0)</f>
        <v>0</v>
      </c>
      <c r="AC116" s="137">
        <f>IF(AQ116="1",BI116,0)</f>
        <v>0</v>
      </c>
      <c r="AD116" s="137">
        <f>IF(AQ116="7",BH116,0)</f>
        <v>0</v>
      </c>
      <c r="AE116" s="137">
        <f>IF(AQ116="7",BI116,0)</f>
        <v>0</v>
      </c>
      <c r="AF116" s="137">
        <f>IF(AQ116="2",BH116,0)</f>
        <v>0</v>
      </c>
      <c r="AG116" s="137">
        <f>IF(AQ116="2",BI116,0)</f>
        <v>0</v>
      </c>
      <c r="AH116" s="137">
        <f>IF(AQ116="0",BJ116,0)</f>
        <v>0</v>
      </c>
      <c r="AI116" s="138" t="s">
        <v>1339</v>
      </c>
      <c r="AJ116" s="137">
        <f>IF(AN116=0,M116,0)</f>
        <v>0</v>
      </c>
      <c r="AK116" s="137">
        <f>IF(AN116=15,M116,0)</f>
        <v>0</v>
      </c>
      <c r="AL116" s="137">
        <f>IF(AN116=21,M116,0)</f>
        <v>0</v>
      </c>
      <c r="AN116" s="137">
        <v>21</v>
      </c>
      <c r="AO116" s="137">
        <f>L116*0.538782051282051</f>
        <v>0</v>
      </c>
      <c r="AP116" s="137">
        <f>L116*(1-0.538782051282051)</f>
        <v>0</v>
      </c>
      <c r="AQ116" s="139" t="s">
        <v>2</v>
      </c>
      <c r="AV116" s="137">
        <f>AW116+AX116</f>
        <v>0</v>
      </c>
      <c r="AW116" s="137">
        <f>K116*AO116</f>
        <v>0</v>
      </c>
      <c r="AX116" s="137">
        <f>K116*AP116</f>
        <v>0</v>
      </c>
      <c r="AY116" s="139" t="s">
        <v>1828</v>
      </c>
      <c r="AZ116" s="139" t="s">
        <v>1827</v>
      </c>
      <c r="BA116" s="138" t="s">
        <v>1336</v>
      </c>
      <c r="BC116" s="137">
        <f>AW116+AX116</f>
        <v>0</v>
      </c>
      <c r="BD116" s="137">
        <f>L116/(100-BE116)*100</f>
        <v>0</v>
      </c>
      <c r="BE116" s="137">
        <v>0</v>
      </c>
      <c r="BF116" s="137">
        <f>116</f>
        <v>116</v>
      </c>
      <c r="BH116" s="137">
        <f>K116*AO116</f>
        <v>0</v>
      </c>
      <c r="BI116" s="137">
        <f>K116*AP116</f>
        <v>0</v>
      </c>
      <c r="BJ116" s="137">
        <f>K116*L116</f>
        <v>0</v>
      </c>
      <c r="BK116" s="137" t="s">
        <v>442</v>
      </c>
      <c r="BL116" s="137">
        <v>41</v>
      </c>
    </row>
    <row r="117" spans="1:64" ht="14.65" customHeight="1">
      <c r="A117" s="130"/>
      <c r="D117" s="251" t="s">
        <v>1845</v>
      </c>
      <c r="E117" s="251"/>
      <c r="F117" s="251"/>
      <c r="G117" s="251"/>
      <c r="H117" s="251"/>
      <c r="I117" s="251"/>
      <c r="J117" s="251"/>
      <c r="K117" s="251"/>
      <c r="L117" s="251"/>
      <c r="M117" s="251"/>
      <c r="N117" s="251"/>
      <c r="O117" s="251"/>
      <c r="P117" s="130"/>
    </row>
    <row r="118" spans="1:64">
      <c r="A118" s="130"/>
      <c r="D118" s="157" t="s">
        <v>1365</v>
      </c>
      <c r="I118" s="156"/>
      <c r="K118" s="155">
        <v>8</v>
      </c>
      <c r="O118" s="154"/>
      <c r="P118" s="130"/>
    </row>
    <row r="119" spans="1:64">
      <c r="A119" s="142" t="s">
        <v>275</v>
      </c>
      <c r="B119" s="141" t="s">
        <v>1339</v>
      </c>
      <c r="C119" s="141" t="s">
        <v>1844</v>
      </c>
      <c r="D119" s="243" t="s">
        <v>1843</v>
      </c>
      <c r="E119" s="243"/>
      <c r="F119" s="243"/>
      <c r="G119" s="243"/>
      <c r="H119" s="243"/>
      <c r="I119" s="243"/>
      <c r="J119" s="141" t="s">
        <v>735</v>
      </c>
      <c r="K119" s="137">
        <v>0.60829999999999995</v>
      </c>
      <c r="L119" s="203">
        <v>0</v>
      </c>
      <c r="M119" s="137">
        <f>K119*L119</f>
        <v>0</v>
      </c>
      <c r="N119" s="137">
        <v>1.09663</v>
      </c>
      <c r="O119" s="140" t="s">
        <v>1340</v>
      </c>
      <c r="P119" s="130"/>
      <c r="Z119" s="137">
        <f>IF(AQ119="5",BJ119,0)</f>
        <v>0</v>
      </c>
      <c r="AB119" s="137">
        <f>IF(AQ119="1",BH119,0)</f>
        <v>0</v>
      </c>
      <c r="AC119" s="137">
        <f>IF(AQ119="1",BI119,0)</f>
        <v>0</v>
      </c>
      <c r="AD119" s="137">
        <f>IF(AQ119="7",BH119,0)</f>
        <v>0</v>
      </c>
      <c r="AE119" s="137">
        <f>IF(AQ119="7",BI119,0)</f>
        <v>0</v>
      </c>
      <c r="AF119" s="137">
        <f>IF(AQ119="2",BH119,0)</f>
        <v>0</v>
      </c>
      <c r="AG119" s="137">
        <f>IF(AQ119="2",BI119,0)</f>
        <v>0</v>
      </c>
      <c r="AH119" s="137">
        <f>IF(AQ119="0",BJ119,0)</f>
        <v>0</v>
      </c>
      <c r="AI119" s="138" t="s">
        <v>1339</v>
      </c>
      <c r="AJ119" s="137">
        <f>IF(AN119=0,M119,0)</f>
        <v>0</v>
      </c>
      <c r="AK119" s="137">
        <f>IF(AN119=15,M119,0)</f>
        <v>0</v>
      </c>
      <c r="AL119" s="137">
        <f>IF(AN119=21,M119,0)</f>
        <v>0</v>
      </c>
      <c r="AN119" s="137">
        <v>21</v>
      </c>
      <c r="AO119" s="137">
        <f>L119*0.800854502557929</f>
        <v>0</v>
      </c>
      <c r="AP119" s="137">
        <f>L119*(1-0.800854502557929)</f>
        <v>0</v>
      </c>
      <c r="AQ119" s="139" t="s">
        <v>2</v>
      </c>
      <c r="AV119" s="137">
        <f>AW119+AX119</f>
        <v>0</v>
      </c>
      <c r="AW119" s="137">
        <f>K119*AO119</f>
        <v>0</v>
      </c>
      <c r="AX119" s="137">
        <f>K119*AP119</f>
        <v>0</v>
      </c>
      <c r="AY119" s="139" t="s">
        <v>1828</v>
      </c>
      <c r="AZ119" s="139" t="s">
        <v>1827</v>
      </c>
      <c r="BA119" s="138" t="s">
        <v>1336</v>
      </c>
      <c r="BC119" s="137">
        <f>AW119+AX119</f>
        <v>0</v>
      </c>
      <c r="BD119" s="137">
        <f>L119/(100-BE119)*100</f>
        <v>0</v>
      </c>
      <c r="BE119" s="137">
        <v>0</v>
      </c>
      <c r="BF119" s="137">
        <f>119</f>
        <v>119</v>
      </c>
      <c r="BH119" s="137">
        <f>K119*AO119</f>
        <v>0</v>
      </c>
      <c r="BI119" s="137">
        <f>K119*AP119</f>
        <v>0</v>
      </c>
      <c r="BJ119" s="137">
        <f>K119*L119</f>
        <v>0</v>
      </c>
      <c r="BK119" s="137" t="s">
        <v>442</v>
      </c>
      <c r="BL119" s="137">
        <v>41</v>
      </c>
    </row>
    <row r="120" spans="1:64" ht="14.65" customHeight="1">
      <c r="A120" s="130"/>
      <c r="D120" s="251" t="s">
        <v>1842</v>
      </c>
      <c r="E120" s="251"/>
      <c r="F120" s="251"/>
      <c r="G120" s="251"/>
      <c r="H120" s="251"/>
      <c r="I120" s="251"/>
      <c r="J120" s="251"/>
      <c r="K120" s="251"/>
      <c r="L120" s="251"/>
      <c r="M120" s="251"/>
      <c r="N120" s="251"/>
      <c r="O120" s="251"/>
      <c r="P120" s="130"/>
    </row>
    <row r="121" spans="1:64">
      <c r="A121" s="130"/>
      <c r="D121" s="157" t="s">
        <v>1841</v>
      </c>
      <c r="I121" s="156"/>
      <c r="K121" s="155">
        <v>0.60829999999999995</v>
      </c>
      <c r="O121" s="154"/>
      <c r="P121" s="130"/>
    </row>
    <row r="122" spans="1:64">
      <c r="A122" s="142" t="s">
        <v>273</v>
      </c>
      <c r="B122" s="141" t="s">
        <v>1339</v>
      </c>
      <c r="C122" s="141" t="s">
        <v>1840</v>
      </c>
      <c r="D122" s="243" t="s">
        <v>1830</v>
      </c>
      <c r="E122" s="243"/>
      <c r="F122" s="243"/>
      <c r="G122" s="243"/>
      <c r="H122" s="243"/>
      <c r="I122" s="243"/>
      <c r="J122" s="141" t="s">
        <v>735</v>
      </c>
      <c r="K122" s="137">
        <v>6.8640000000000007E-2</v>
      </c>
      <c r="L122" s="203">
        <v>0</v>
      </c>
      <c r="M122" s="137">
        <f>K122*L122</f>
        <v>0</v>
      </c>
      <c r="N122" s="137">
        <v>1.09901</v>
      </c>
      <c r="O122" s="140" t="s">
        <v>1340</v>
      </c>
      <c r="P122" s="130"/>
      <c r="Z122" s="137">
        <f>IF(AQ122="5",BJ122,0)</f>
        <v>0</v>
      </c>
      <c r="AB122" s="137">
        <f>IF(AQ122="1",BH122,0)</f>
        <v>0</v>
      </c>
      <c r="AC122" s="137">
        <f>IF(AQ122="1",BI122,0)</f>
        <v>0</v>
      </c>
      <c r="AD122" s="137">
        <f>IF(AQ122="7",BH122,0)</f>
        <v>0</v>
      </c>
      <c r="AE122" s="137">
        <f>IF(AQ122="7",BI122,0)</f>
        <v>0</v>
      </c>
      <c r="AF122" s="137">
        <f>IF(AQ122="2",BH122,0)</f>
        <v>0</v>
      </c>
      <c r="AG122" s="137">
        <f>IF(AQ122="2",BI122,0)</f>
        <v>0</v>
      </c>
      <c r="AH122" s="137">
        <f>IF(AQ122="0",BJ122,0)</f>
        <v>0</v>
      </c>
      <c r="AI122" s="138" t="s">
        <v>1339</v>
      </c>
      <c r="AJ122" s="137">
        <f>IF(AN122=0,M122,0)</f>
        <v>0</v>
      </c>
      <c r="AK122" s="137">
        <f>IF(AN122=15,M122,0)</f>
        <v>0</v>
      </c>
      <c r="AL122" s="137">
        <f>IF(AN122=21,M122,0)</f>
        <v>0</v>
      </c>
      <c r="AN122" s="137">
        <v>21</v>
      </c>
      <c r="AO122" s="137">
        <f>L122*0.786556374910254</f>
        <v>0</v>
      </c>
      <c r="AP122" s="137">
        <f>L122*(1-0.786556374910254)</f>
        <v>0</v>
      </c>
      <c r="AQ122" s="139" t="s">
        <v>2</v>
      </c>
      <c r="AV122" s="137">
        <f>AW122+AX122</f>
        <v>0</v>
      </c>
      <c r="AW122" s="137">
        <f>K122*AO122</f>
        <v>0</v>
      </c>
      <c r="AX122" s="137">
        <f>K122*AP122</f>
        <v>0</v>
      </c>
      <c r="AY122" s="139" t="s">
        <v>1828</v>
      </c>
      <c r="AZ122" s="139" t="s">
        <v>1827</v>
      </c>
      <c r="BA122" s="138" t="s">
        <v>1336</v>
      </c>
      <c r="BC122" s="137">
        <f>AW122+AX122</f>
        <v>0</v>
      </c>
      <c r="BD122" s="137">
        <f>L122/(100-BE122)*100</f>
        <v>0</v>
      </c>
      <c r="BE122" s="137">
        <v>0</v>
      </c>
      <c r="BF122" s="137">
        <f>122</f>
        <v>122</v>
      </c>
      <c r="BH122" s="137">
        <f>K122*AO122</f>
        <v>0</v>
      </c>
      <c r="BI122" s="137">
        <f>K122*AP122</f>
        <v>0</v>
      </c>
      <c r="BJ122" s="137">
        <f>K122*L122</f>
        <v>0</v>
      </c>
      <c r="BK122" s="137" t="s">
        <v>442</v>
      </c>
      <c r="BL122" s="137">
        <v>41</v>
      </c>
    </row>
    <row r="123" spans="1:64" ht="14.65" customHeight="1">
      <c r="A123" s="130"/>
      <c r="D123" s="251" t="s">
        <v>1839</v>
      </c>
      <c r="E123" s="251"/>
      <c r="F123" s="251"/>
      <c r="G123" s="251"/>
      <c r="H123" s="251"/>
      <c r="I123" s="251"/>
      <c r="J123" s="251"/>
      <c r="K123" s="251"/>
      <c r="L123" s="251"/>
      <c r="M123" s="251"/>
      <c r="N123" s="251"/>
      <c r="O123" s="251"/>
      <c r="P123" s="130"/>
    </row>
    <row r="124" spans="1:64">
      <c r="A124" s="130"/>
      <c r="D124" s="157" t="s">
        <v>1838</v>
      </c>
      <c r="I124" s="156"/>
      <c r="K124" s="155">
        <v>6.8640000000000007E-2</v>
      </c>
      <c r="O124" s="154"/>
      <c r="P124" s="130"/>
    </row>
    <row r="125" spans="1:64">
      <c r="A125" s="142" t="s">
        <v>270</v>
      </c>
      <c r="B125" s="141" t="s">
        <v>1339</v>
      </c>
      <c r="C125" s="141" t="s">
        <v>1837</v>
      </c>
      <c r="D125" s="243" t="s">
        <v>1830</v>
      </c>
      <c r="E125" s="243"/>
      <c r="F125" s="243"/>
      <c r="G125" s="243"/>
      <c r="H125" s="243"/>
      <c r="I125" s="243"/>
      <c r="J125" s="141" t="s">
        <v>735</v>
      </c>
      <c r="K125" s="137">
        <v>6.6970000000000002E-2</v>
      </c>
      <c r="L125" s="203">
        <v>0</v>
      </c>
      <c r="M125" s="137">
        <f>K125*L125</f>
        <v>0</v>
      </c>
      <c r="N125" s="137">
        <v>1.09901</v>
      </c>
      <c r="O125" s="140" t="s">
        <v>1340</v>
      </c>
      <c r="P125" s="130"/>
      <c r="Z125" s="137">
        <f>IF(AQ125="5",BJ125,0)</f>
        <v>0</v>
      </c>
      <c r="AB125" s="137">
        <f>IF(AQ125="1",BH125,0)</f>
        <v>0</v>
      </c>
      <c r="AC125" s="137">
        <f>IF(AQ125="1",BI125,0)</f>
        <v>0</v>
      </c>
      <c r="AD125" s="137">
        <f>IF(AQ125="7",BH125,0)</f>
        <v>0</v>
      </c>
      <c r="AE125" s="137">
        <f>IF(AQ125="7",BI125,0)</f>
        <v>0</v>
      </c>
      <c r="AF125" s="137">
        <f>IF(AQ125="2",BH125,0)</f>
        <v>0</v>
      </c>
      <c r="AG125" s="137">
        <f>IF(AQ125="2",BI125,0)</f>
        <v>0</v>
      </c>
      <c r="AH125" s="137">
        <f>IF(AQ125="0",BJ125,0)</f>
        <v>0</v>
      </c>
      <c r="AI125" s="138" t="s">
        <v>1339</v>
      </c>
      <c r="AJ125" s="137">
        <f>IF(AN125=0,M125,0)</f>
        <v>0</v>
      </c>
      <c r="AK125" s="137">
        <f>IF(AN125=15,M125,0)</f>
        <v>0</v>
      </c>
      <c r="AL125" s="137">
        <f>IF(AN125=21,M125,0)</f>
        <v>0</v>
      </c>
      <c r="AN125" s="137">
        <v>21</v>
      </c>
      <c r="AO125" s="137">
        <f>L125*0.786555983950184</f>
        <v>0</v>
      </c>
      <c r="AP125" s="137">
        <f>L125*(1-0.786555983950184)</f>
        <v>0</v>
      </c>
      <c r="AQ125" s="139" t="s">
        <v>2</v>
      </c>
      <c r="AV125" s="137">
        <f>AW125+AX125</f>
        <v>0</v>
      </c>
      <c r="AW125" s="137">
        <f>K125*AO125</f>
        <v>0</v>
      </c>
      <c r="AX125" s="137">
        <f>K125*AP125</f>
        <v>0</v>
      </c>
      <c r="AY125" s="139" t="s">
        <v>1828</v>
      </c>
      <c r="AZ125" s="139" t="s">
        <v>1827</v>
      </c>
      <c r="BA125" s="138" t="s">
        <v>1336</v>
      </c>
      <c r="BC125" s="137">
        <f>AW125+AX125</f>
        <v>0</v>
      </c>
      <c r="BD125" s="137">
        <f>L125/(100-BE125)*100</f>
        <v>0</v>
      </c>
      <c r="BE125" s="137">
        <v>0</v>
      </c>
      <c r="BF125" s="137">
        <f>125</f>
        <v>125</v>
      </c>
      <c r="BH125" s="137">
        <f>K125*AO125</f>
        <v>0</v>
      </c>
      <c r="BI125" s="137">
        <f>K125*AP125</f>
        <v>0</v>
      </c>
      <c r="BJ125" s="137">
        <f>K125*L125</f>
        <v>0</v>
      </c>
      <c r="BK125" s="137" t="s">
        <v>442</v>
      </c>
      <c r="BL125" s="137">
        <v>41</v>
      </c>
    </row>
    <row r="126" spans="1:64" ht="14.65" customHeight="1">
      <c r="A126" s="130"/>
      <c r="D126" s="251" t="s">
        <v>1836</v>
      </c>
      <c r="E126" s="251"/>
      <c r="F126" s="251"/>
      <c r="G126" s="251"/>
      <c r="H126" s="251"/>
      <c r="I126" s="251"/>
      <c r="J126" s="251"/>
      <c r="K126" s="251"/>
      <c r="L126" s="251"/>
      <c r="M126" s="251"/>
      <c r="N126" s="251"/>
      <c r="O126" s="251"/>
      <c r="P126" s="130"/>
    </row>
    <row r="127" spans="1:64">
      <c r="A127" s="130"/>
      <c r="D127" s="157" t="s">
        <v>1835</v>
      </c>
      <c r="I127" s="156"/>
      <c r="K127" s="155">
        <v>6.6970000000000002E-2</v>
      </c>
      <c r="O127" s="154"/>
      <c r="P127" s="130"/>
    </row>
    <row r="128" spans="1:64">
      <c r="A128" s="142" t="s">
        <v>266</v>
      </c>
      <c r="B128" s="141" t="s">
        <v>1339</v>
      </c>
      <c r="C128" s="141" t="s">
        <v>1834</v>
      </c>
      <c r="D128" s="243" t="s">
        <v>1833</v>
      </c>
      <c r="E128" s="243"/>
      <c r="F128" s="243"/>
      <c r="G128" s="243"/>
      <c r="H128" s="243"/>
      <c r="I128" s="243"/>
      <c r="J128" s="141" t="s">
        <v>21</v>
      </c>
      <c r="K128" s="137">
        <v>6.24</v>
      </c>
      <c r="L128" s="203">
        <v>0</v>
      </c>
      <c r="M128" s="137">
        <f>K128*L128</f>
        <v>0</v>
      </c>
      <c r="N128" s="137">
        <v>4.8000000000000001E-4</v>
      </c>
      <c r="O128" s="140" t="s">
        <v>1340</v>
      </c>
      <c r="P128" s="130"/>
      <c r="Z128" s="137">
        <f>IF(AQ128="5",BJ128,0)</f>
        <v>0</v>
      </c>
      <c r="AB128" s="137">
        <f>IF(AQ128="1",BH128,0)</f>
        <v>0</v>
      </c>
      <c r="AC128" s="137">
        <f>IF(AQ128="1",BI128,0)</f>
        <v>0</v>
      </c>
      <c r="AD128" s="137">
        <f>IF(AQ128="7",BH128,0)</f>
        <v>0</v>
      </c>
      <c r="AE128" s="137">
        <f>IF(AQ128="7",BI128,0)</f>
        <v>0</v>
      </c>
      <c r="AF128" s="137">
        <f>IF(AQ128="2",BH128,0)</f>
        <v>0</v>
      </c>
      <c r="AG128" s="137">
        <f>IF(AQ128="2",BI128,0)</f>
        <v>0</v>
      </c>
      <c r="AH128" s="137">
        <f>IF(AQ128="0",BJ128,0)</f>
        <v>0</v>
      </c>
      <c r="AI128" s="138" t="s">
        <v>1339</v>
      </c>
      <c r="AJ128" s="137">
        <f>IF(AN128=0,M128,0)</f>
        <v>0</v>
      </c>
      <c r="AK128" s="137">
        <f>IF(AN128=15,M128,0)</f>
        <v>0</v>
      </c>
      <c r="AL128" s="137">
        <f>IF(AN128=21,M128,0)</f>
        <v>0</v>
      </c>
      <c r="AN128" s="137">
        <v>21</v>
      </c>
      <c r="AO128" s="137">
        <f>L128*0.161765704584041</f>
        <v>0</v>
      </c>
      <c r="AP128" s="137">
        <f>L128*(1-0.161765704584041)</f>
        <v>0</v>
      </c>
      <c r="AQ128" s="139" t="s">
        <v>2</v>
      </c>
      <c r="AV128" s="137">
        <f>AW128+AX128</f>
        <v>0</v>
      </c>
      <c r="AW128" s="137">
        <f>K128*AO128</f>
        <v>0</v>
      </c>
      <c r="AX128" s="137">
        <f>K128*AP128</f>
        <v>0</v>
      </c>
      <c r="AY128" s="139" t="s">
        <v>1828</v>
      </c>
      <c r="AZ128" s="139" t="s">
        <v>1827</v>
      </c>
      <c r="BA128" s="138" t="s">
        <v>1336</v>
      </c>
      <c r="BC128" s="137">
        <f>AW128+AX128</f>
        <v>0</v>
      </c>
      <c r="BD128" s="137">
        <f>L128/(100-BE128)*100</f>
        <v>0</v>
      </c>
      <c r="BE128" s="137">
        <v>0</v>
      </c>
      <c r="BF128" s="137">
        <f>128</f>
        <v>128</v>
      </c>
      <c r="BH128" s="137">
        <f>K128*AO128</f>
        <v>0</v>
      </c>
      <c r="BI128" s="137">
        <f>K128*AP128</f>
        <v>0</v>
      </c>
      <c r="BJ128" s="137">
        <f>K128*L128</f>
        <v>0</v>
      </c>
      <c r="BK128" s="137" t="s">
        <v>442</v>
      </c>
      <c r="BL128" s="137">
        <v>41</v>
      </c>
    </row>
    <row r="129" spans="1:64">
      <c r="A129" s="130"/>
      <c r="D129" s="157" t="s">
        <v>1832</v>
      </c>
      <c r="I129" s="156"/>
      <c r="K129" s="155">
        <v>6.24</v>
      </c>
      <c r="O129" s="154"/>
      <c r="P129" s="130"/>
    </row>
    <row r="130" spans="1:64">
      <c r="A130" s="142" t="s">
        <v>263</v>
      </c>
      <c r="B130" s="141" t="s">
        <v>1339</v>
      </c>
      <c r="C130" s="141" t="s">
        <v>1831</v>
      </c>
      <c r="D130" s="243" t="s">
        <v>1830</v>
      </c>
      <c r="E130" s="243"/>
      <c r="F130" s="243"/>
      <c r="G130" s="243"/>
      <c r="H130" s="243"/>
      <c r="I130" s="243"/>
      <c r="J130" s="141" t="s">
        <v>735</v>
      </c>
      <c r="K130" s="137">
        <v>0.105</v>
      </c>
      <c r="L130" s="203">
        <v>0</v>
      </c>
      <c r="M130" s="137">
        <f>K130*L130</f>
        <v>0</v>
      </c>
      <c r="N130" s="137">
        <v>1.9009999999999999E-2</v>
      </c>
      <c r="O130" s="140" t="s">
        <v>1340</v>
      </c>
      <c r="P130" s="130"/>
      <c r="Z130" s="137">
        <f>IF(AQ130="5",BJ130,0)</f>
        <v>0</v>
      </c>
      <c r="AB130" s="137">
        <f>IF(AQ130="1",BH130,0)</f>
        <v>0</v>
      </c>
      <c r="AC130" s="137">
        <f>IF(AQ130="1",BI130,0)</f>
        <v>0</v>
      </c>
      <c r="AD130" s="137">
        <f>IF(AQ130="7",BH130,0)</f>
        <v>0</v>
      </c>
      <c r="AE130" s="137">
        <f>IF(AQ130="7",BI130,0)</f>
        <v>0</v>
      </c>
      <c r="AF130" s="137">
        <f>IF(AQ130="2",BH130,0)</f>
        <v>0</v>
      </c>
      <c r="AG130" s="137">
        <f>IF(AQ130="2",BI130,0)</f>
        <v>0</v>
      </c>
      <c r="AH130" s="137">
        <f>IF(AQ130="0",BJ130,0)</f>
        <v>0</v>
      </c>
      <c r="AI130" s="138" t="s">
        <v>1339</v>
      </c>
      <c r="AJ130" s="137">
        <f>IF(AN130=0,M130,0)</f>
        <v>0</v>
      </c>
      <c r="AK130" s="137">
        <f>IF(AN130=15,M130,0)</f>
        <v>0</v>
      </c>
      <c r="AL130" s="137">
        <f>IF(AN130=21,M130,0)</f>
        <v>0</v>
      </c>
      <c r="AN130" s="137">
        <v>21</v>
      </c>
      <c r="AO130" s="137">
        <f>L130*0.00239877835951134</f>
        <v>0</v>
      </c>
      <c r="AP130" s="137">
        <f>L130*(1-0.00239877835951134)</f>
        <v>0</v>
      </c>
      <c r="AQ130" s="139" t="s">
        <v>2</v>
      </c>
      <c r="AV130" s="137">
        <f>AW130+AX130</f>
        <v>0</v>
      </c>
      <c r="AW130" s="137">
        <f>K130*AO130</f>
        <v>0</v>
      </c>
      <c r="AX130" s="137">
        <f>K130*AP130</f>
        <v>0</v>
      </c>
      <c r="AY130" s="139" t="s">
        <v>1828</v>
      </c>
      <c r="AZ130" s="139" t="s">
        <v>1827</v>
      </c>
      <c r="BA130" s="138" t="s">
        <v>1336</v>
      </c>
      <c r="BC130" s="137">
        <f>AW130+AX130</f>
        <v>0</v>
      </c>
      <c r="BD130" s="137">
        <f>L130/(100-BE130)*100</f>
        <v>0</v>
      </c>
      <c r="BE130" s="137">
        <v>0</v>
      </c>
      <c r="BF130" s="137">
        <f>130</f>
        <v>130</v>
      </c>
      <c r="BH130" s="137">
        <f>K130*AO130</f>
        <v>0</v>
      </c>
      <c r="BI130" s="137">
        <f>K130*AP130</f>
        <v>0</v>
      </c>
      <c r="BJ130" s="137">
        <f>K130*L130</f>
        <v>0</v>
      </c>
      <c r="BK130" s="137" t="s">
        <v>442</v>
      </c>
      <c r="BL130" s="137">
        <v>41</v>
      </c>
    </row>
    <row r="131" spans="1:64">
      <c r="A131" s="130"/>
      <c r="D131" s="157" t="s">
        <v>1829</v>
      </c>
      <c r="I131" s="156"/>
      <c r="K131" s="155">
        <v>0.105</v>
      </c>
      <c r="O131" s="154"/>
      <c r="P131" s="130"/>
    </row>
    <row r="132" spans="1:64">
      <c r="A132" s="142" t="s">
        <v>260</v>
      </c>
      <c r="B132" s="141" t="s">
        <v>1339</v>
      </c>
      <c r="C132" s="141" t="s">
        <v>1585</v>
      </c>
      <c r="D132" s="243" t="s">
        <v>1584</v>
      </c>
      <c r="E132" s="243"/>
      <c r="F132" s="243"/>
      <c r="G132" s="243"/>
      <c r="H132" s="243"/>
      <c r="I132" s="243"/>
      <c r="J132" s="141" t="s">
        <v>735</v>
      </c>
      <c r="K132" s="137">
        <v>0.10453999999999999</v>
      </c>
      <c r="L132" s="203">
        <v>0</v>
      </c>
      <c r="M132" s="137">
        <f>K132*L132</f>
        <v>0</v>
      </c>
      <c r="N132" s="137">
        <v>1</v>
      </c>
      <c r="O132" s="140" t="s">
        <v>1340</v>
      </c>
      <c r="P132" s="130"/>
      <c r="Z132" s="137">
        <f>IF(AQ132="5",BJ132,0)</f>
        <v>0</v>
      </c>
      <c r="AB132" s="137">
        <f>IF(AQ132="1",BH132,0)</f>
        <v>0</v>
      </c>
      <c r="AC132" s="137">
        <f>IF(AQ132="1",BI132,0)</f>
        <v>0</v>
      </c>
      <c r="AD132" s="137">
        <f>IF(AQ132="7",BH132,0)</f>
        <v>0</v>
      </c>
      <c r="AE132" s="137">
        <f>IF(AQ132="7",BI132,0)</f>
        <v>0</v>
      </c>
      <c r="AF132" s="137">
        <f>IF(AQ132="2",BH132,0)</f>
        <v>0</v>
      </c>
      <c r="AG132" s="137">
        <f>IF(AQ132="2",BI132,0)</f>
        <v>0</v>
      </c>
      <c r="AH132" s="137">
        <f>IF(AQ132="0",BJ132,0)</f>
        <v>0</v>
      </c>
      <c r="AI132" s="138" t="s">
        <v>1339</v>
      </c>
      <c r="AJ132" s="137">
        <f>IF(AN132=0,M132,0)</f>
        <v>0</v>
      </c>
      <c r="AK132" s="137">
        <f>IF(AN132=15,M132,0)</f>
        <v>0</v>
      </c>
      <c r="AL132" s="137">
        <f>IF(AN132=21,M132,0)</f>
        <v>0</v>
      </c>
      <c r="AN132" s="137">
        <v>21</v>
      </c>
      <c r="AO132" s="137">
        <f>L132*1</f>
        <v>0</v>
      </c>
      <c r="AP132" s="137">
        <f>L132*(1-1)</f>
        <v>0</v>
      </c>
      <c r="AQ132" s="139" t="s">
        <v>2</v>
      </c>
      <c r="AV132" s="137">
        <f>AW132+AX132</f>
        <v>0</v>
      </c>
      <c r="AW132" s="137">
        <f>K132*AO132</f>
        <v>0</v>
      </c>
      <c r="AX132" s="137">
        <f>K132*AP132</f>
        <v>0</v>
      </c>
      <c r="AY132" s="139" t="s">
        <v>1828</v>
      </c>
      <c r="AZ132" s="139" t="s">
        <v>1827</v>
      </c>
      <c r="BA132" s="138" t="s">
        <v>1336</v>
      </c>
      <c r="BC132" s="137">
        <f>AW132+AX132</f>
        <v>0</v>
      </c>
      <c r="BD132" s="137">
        <f>L132/(100-BE132)*100</f>
        <v>0</v>
      </c>
      <c r="BE132" s="137">
        <v>0</v>
      </c>
      <c r="BF132" s="137">
        <f>132</f>
        <v>132</v>
      </c>
      <c r="BH132" s="137">
        <f>K132*AO132</f>
        <v>0</v>
      </c>
      <c r="BI132" s="137">
        <f>K132*AP132</f>
        <v>0</v>
      </c>
      <c r="BJ132" s="137">
        <f>K132*L132</f>
        <v>0</v>
      </c>
      <c r="BK132" s="137" t="s">
        <v>750</v>
      </c>
      <c r="BL132" s="137">
        <v>41</v>
      </c>
    </row>
    <row r="133" spans="1:64">
      <c r="A133" s="130"/>
      <c r="D133" s="157" t="s">
        <v>1826</v>
      </c>
      <c r="I133" s="156"/>
      <c r="K133" s="155">
        <v>0.10453999999999999</v>
      </c>
      <c r="O133" s="154"/>
      <c r="P133" s="130"/>
    </row>
    <row r="134" spans="1:64">
      <c r="A134" s="147"/>
      <c r="B134" s="146" t="s">
        <v>1339</v>
      </c>
      <c r="C134" s="146" t="s">
        <v>191</v>
      </c>
      <c r="D134" s="252" t="s">
        <v>1825</v>
      </c>
      <c r="E134" s="252"/>
      <c r="F134" s="252"/>
      <c r="G134" s="252"/>
      <c r="H134" s="252"/>
      <c r="I134" s="252"/>
      <c r="J134" s="145" t="s">
        <v>1305</v>
      </c>
      <c r="K134" s="145" t="s">
        <v>1305</v>
      </c>
      <c r="L134" s="145" t="s">
        <v>1305</v>
      </c>
      <c r="M134" s="143">
        <f>SUM(M135:M144)</f>
        <v>0</v>
      </c>
      <c r="N134" s="138"/>
      <c r="O134" s="144"/>
      <c r="P134" s="130"/>
      <c r="AI134" s="138" t="s">
        <v>1339</v>
      </c>
      <c r="AS134" s="143">
        <f>SUM(AJ135:AJ144)</f>
        <v>0</v>
      </c>
      <c r="AT134" s="143">
        <f>SUM(AK135:AK144)</f>
        <v>0</v>
      </c>
      <c r="AU134" s="143">
        <f>SUM(AL135:AL144)</f>
        <v>0</v>
      </c>
    </row>
    <row r="135" spans="1:64">
      <c r="A135" s="142" t="s">
        <v>257</v>
      </c>
      <c r="B135" s="141" t="s">
        <v>1339</v>
      </c>
      <c r="C135" s="141" t="s">
        <v>1824</v>
      </c>
      <c r="D135" s="243" t="s">
        <v>1823</v>
      </c>
      <c r="E135" s="243"/>
      <c r="F135" s="243"/>
      <c r="G135" s="243"/>
      <c r="H135" s="243"/>
      <c r="I135" s="243"/>
      <c r="J135" s="141" t="s">
        <v>722</v>
      </c>
      <c r="K135" s="137">
        <v>15</v>
      </c>
      <c r="L135" s="203">
        <v>0</v>
      </c>
      <c r="M135" s="137">
        <f>K135*L135</f>
        <v>0</v>
      </c>
      <c r="N135" s="137">
        <v>3.6459999999999999E-2</v>
      </c>
      <c r="O135" s="140" t="s">
        <v>1340</v>
      </c>
      <c r="P135" s="130"/>
      <c r="Z135" s="137">
        <f>IF(AQ135="5",BJ135,0)</f>
        <v>0</v>
      </c>
      <c r="AB135" s="137">
        <f>IF(AQ135="1",BH135,0)</f>
        <v>0</v>
      </c>
      <c r="AC135" s="137">
        <f>IF(AQ135="1",BI135,0)</f>
        <v>0</v>
      </c>
      <c r="AD135" s="137">
        <f>IF(AQ135="7",BH135,0)</f>
        <v>0</v>
      </c>
      <c r="AE135" s="137">
        <f>IF(AQ135="7",BI135,0)</f>
        <v>0</v>
      </c>
      <c r="AF135" s="137">
        <f>IF(AQ135="2",BH135,0)</f>
        <v>0</v>
      </c>
      <c r="AG135" s="137">
        <f>IF(AQ135="2",BI135,0)</f>
        <v>0</v>
      </c>
      <c r="AH135" s="137">
        <f>IF(AQ135="0",BJ135,0)</f>
        <v>0</v>
      </c>
      <c r="AI135" s="138" t="s">
        <v>1339</v>
      </c>
      <c r="AJ135" s="137">
        <f>IF(AN135=0,M135,0)</f>
        <v>0</v>
      </c>
      <c r="AK135" s="137">
        <f>IF(AN135=15,M135,0)</f>
        <v>0</v>
      </c>
      <c r="AL135" s="137">
        <f>IF(AN135=21,M135,0)</f>
        <v>0</v>
      </c>
      <c r="AN135" s="137">
        <v>21</v>
      </c>
      <c r="AO135" s="137">
        <f>L135*0.281740787801779</f>
        <v>0</v>
      </c>
      <c r="AP135" s="137">
        <f>L135*(1-0.281740787801779)</f>
        <v>0</v>
      </c>
      <c r="AQ135" s="139" t="s">
        <v>2</v>
      </c>
      <c r="AV135" s="137">
        <f>AW135+AX135</f>
        <v>0</v>
      </c>
      <c r="AW135" s="137">
        <f>K135*AO135</f>
        <v>0</v>
      </c>
      <c r="AX135" s="137">
        <f>K135*AP135</f>
        <v>0</v>
      </c>
      <c r="AY135" s="139" t="s">
        <v>1814</v>
      </c>
      <c r="AZ135" s="139" t="s">
        <v>1787</v>
      </c>
      <c r="BA135" s="138" t="s">
        <v>1336</v>
      </c>
      <c r="BC135" s="137">
        <f>AW135+AX135</f>
        <v>0</v>
      </c>
      <c r="BD135" s="137">
        <f>L135/(100-BE135)*100</f>
        <v>0</v>
      </c>
      <c r="BE135" s="137">
        <v>0</v>
      </c>
      <c r="BF135" s="137">
        <f>135</f>
        <v>135</v>
      </c>
      <c r="BH135" s="137">
        <f>K135*AO135</f>
        <v>0</v>
      </c>
      <c r="BI135" s="137">
        <f>K135*AP135</f>
        <v>0</v>
      </c>
      <c r="BJ135" s="137">
        <f>K135*L135</f>
        <v>0</v>
      </c>
      <c r="BK135" s="137" t="s">
        <v>442</v>
      </c>
      <c r="BL135" s="137">
        <v>61</v>
      </c>
    </row>
    <row r="136" spans="1:64" ht="14.65" customHeight="1">
      <c r="A136" s="130"/>
      <c r="D136" s="251" t="s">
        <v>1819</v>
      </c>
      <c r="E136" s="251"/>
      <c r="F136" s="251"/>
      <c r="G136" s="251"/>
      <c r="H136" s="251"/>
      <c r="I136" s="251"/>
      <c r="J136" s="251"/>
      <c r="K136" s="251"/>
      <c r="L136" s="251"/>
      <c r="M136" s="251"/>
      <c r="N136" s="251"/>
      <c r="O136" s="251"/>
      <c r="P136" s="130"/>
    </row>
    <row r="137" spans="1:64">
      <c r="A137" s="130"/>
      <c r="D137" s="157" t="s">
        <v>1822</v>
      </c>
      <c r="I137" s="156"/>
      <c r="K137" s="155">
        <v>12</v>
      </c>
      <c r="O137" s="154"/>
      <c r="P137" s="130"/>
    </row>
    <row r="138" spans="1:64">
      <c r="A138" s="130"/>
      <c r="D138" s="157" t="s">
        <v>1377</v>
      </c>
      <c r="I138" s="156"/>
      <c r="K138" s="155">
        <v>3</v>
      </c>
      <c r="O138" s="154"/>
      <c r="P138" s="130"/>
    </row>
    <row r="139" spans="1:64">
      <c r="A139" s="142" t="s">
        <v>254</v>
      </c>
      <c r="B139" s="141" t="s">
        <v>1339</v>
      </c>
      <c r="C139" s="141" t="s">
        <v>1821</v>
      </c>
      <c r="D139" s="243" t="s">
        <v>1820</v>
      </c>
      <c r="E139" s="243"/>
      <c r="F139" s="243"/>
      <c r="G139" s="243"/>
      <c r="H139" s="243"/>
      <c r="I139" s="243"/>
      <c r="J139" s="141" t="s">
        <v>722</v>
      </c>
      <c r="K139" s="137">
        <v>6</v>
      </c>
      <c r="L139" s="203">
        <v>0</v>
      </c>
      <c r="M139" s="137">
        <f>K139*L139</f>
        <v>0</v>
      </c>
      <c r="N139" s="137">
        <v>3.5619999999999999E-2</v>
      </c>
      <c r="O139" s="140" t="s">
        <v>1340</v>
      </c>
      <c r="P139" s="130"/>
      <c r="Z139" s="137">
        <f>IF(AQ139="5",BJ139,0)</f>
        <v>0</v>
      </c>
      <c r="AB139" s="137">
        <f>IF(AQ139="1",BH139,0)</f>
        <v>0</v>
      </c>
      <c r="AC139" s="137">
        <f>IF(AQ139="1",BI139,0)</f>
        <v>0</v>
      </c>
      <c r="AD139" s="137">
        <f>IF(AQ139="7",BH139,0)</f>
        <v>0</v>
      </c>
      <c r="AE139" s="137">
        <f>IF(AQ139="7",BI139,0)</f>
        <v>0</v>
      </c>
      <c r="AF139" s="137">
        <f>IF(AQ139="2",BH139,0)</f>
        <v>0</v>
      </c>
      <c r="AG139" s="137">
        <f>IF(AQ139="2",BI139,0)</f>
        <v>0</v>
      </c>
      <c r="AH139" s="137">
        <f>IF(AQ139="0",BJ139,0)</f>
        <v>0</v>
      </c>
      <c r="AI139" s="138" t="s">
        <v>1339</v>
      </c>
      <c r="AJ139" s="137">
        <f>IF(AN139=0,M139,0)</f>
        <v>0</v>
      </c>
      <c r="AK139" s="137">
        <f>IF(AN139=15,M139,0)</f>
        <v>0</v>
      </c>
      <c r="AL139" s="137">
        <f>IF(AN139=21,M139,0)</f>
        <v>0</v>
      </c>
      <c r="AN139" s="137">
        <v>21</v>
      </c>
      <c r="AO139" s="137">
        <f>L139*0.295407066052227</f>
        <v>0</v>
      </c>
      <c r="AP139" s="137">
        <f>L139*(1-0.295407066052227)</f>
        <v>0</v>
      </c>
      <c r="AQ139" s="139" t="s">
        <v>2</v>
      </c>
      <c r="AV139" s="137">
        <f>AW139+AX139</f>
        <v>0</v>
      </c>
      <c r="AW139" s="137">
        <f>K139*AO139</f>
        <v>0</v>
      </c>
      <c r="AX139" s="137">
        <f>K139*AP139</f>
        <v>0</v>
      </c>
      <c r="AY139" s="139" t="s">
        <v>1814</v>
      </c>
      <c r="AZ139" s="139" t="s">
        <v>1787</v>
      </c>
      <c r="BA139" s="138" t="s">
        <v>1336</v>
      </c>
      <c r="BC139" s="137">
        <f>AW139+AX139</f>
        <v>0</v>
      </c>
      <c r="BD139" s="137">
        <f>L139/(100-BE139)*100</f>
        <v>0</v>
      </c>
      <c r="BE139" s="137">
        <v>0</v>
      </c>
      <c r="BF139" s="137">
        <f>139</f>
        <v>139</v>
      </c>
      <c r="BH139" s="137">
        <f>K139*AO139</f>
        <v>0</v>
      </c>
      <c r="BI139" s="137">
        <f>K139*AP139</f>
        <v>0</v>
      </c>
      <c r="BJ139" s="137">
        <f>K139*L139</f>
        <v>0</v>
      </c>
      <c r="BK139" s="137" t="s">
        <v>442</v>
      </c>
      <c r="BL139" s="137">
        <v>61</v>
      </c>
    </row>
    <row r="140" spans="1:64" ht="14.65" customHeight="1">
      <c r="A140" s="130"/>
      <c r="D140" s="251" t="s">
        <v>1819</v>
      </c>
      <c r="E140" s="251"/>
      <c r="F140" s="251"/>
      <c r="G140" s="251"/>
      <c r="H140" s="251"/>
      <c r="I140" s="251"/>
      <c r="J140" s="251"/>
      <c r="K140" s="251"/>
      <c r="L140" s="251"/>
      <c r="M140" s="251"/>
      <c r="N140" s="251"/>
      <c r="O140" s="251"/>
      <c r="P140" s="130"/>
    </row>
    <row r="141" spans="1:64">
      <c r="A141" s="130"/>
      <c r="D141" s="157" t="s">
        <v>1818</v>
      </c>
      <c r="I141" s="156"/>
      <c r="K141" s="155">
        <v>6</v>
      </c>
      <c r="O141" s="154"/>
      <c r="P141" s="130"/>
    </row>
    <row r="142" spans="1:64">
      <c r="A142" s="142" t="s">
        <v>251</v>
      </c>
      <c r="B142" s="141" t="s">
        <v>1339</v>
      </c>
      <c r="C142" s="141" t="s">
        <v>1816</v>
      </c>
      <c r="D142" s="243" t="s">
        <v>1815</v>
      </c>
      <c r="E142" s="243"/>
      <c r="F142" s="243"/>
      <c r="G142" s="243"/>
      <c r="H142" s="243"/>
      <c r="I142" s="243"/>
      <c r="J142" s="141" t="s">
        <v>691</v>
      </c>
      <c r="K142" s="137">
        <v>2.4</v>
      </c>
      <c r="L142" s="203">
        <v>0</v>
      </c>
      <c r="M142" s="137">
        <f>K142*L142</f>
        <v>0</v>
      </c>
      <c r="N142" s="137">
        <v>5.3690000000000002E-2</v>
      </c>
      <c r="O142" s="140" t="s">
        <v>1340</v>
      </c>
      <c r="P142" s="130"/>
      <c r="Z142" s="137">
        <f>IF(AQ142="5",BJ142,0)</f>
        <v>0</v>
      </c>
      <c r="AB142" s="137">
        <f>IF(AQ142="1",BH142,0)</f>
        <v>0</v>
      </c>
      <c r="AC142" s="137">
        <f>IF(AQ142="1",BI142,0)</f>
        <v>0</v>
      </c>
      <c r="AD142" s="137">
        <f>IF(AQ142="7",BH142,0)</f>
        <v>0</v>
      </c>
      <c r="AE142" s="137">
        <f>IF(AQ142="7",BI142,0)</f>
        <v>0</v>
      </c>
      <c r="AF142" s="137">
        <f>IF(AQ142="2",BH142,0)</f>
        <v>0</v>
      </c>
      <c r="AG142" s="137">
        <f>IF(AQ142="2",BI142,0)</f>
        <v>0</v>
      </c>
      <c r="AH142" s="137">
        <f>IF(AQ142="0",BJ142,0)</f>
        <v>0</v>
      </c>
      <c r="AI142" s="138" t="s">
        <v>1339</v>
      </c>
      <c r="AJ142" s="137">
        <f>IF(AN142=0,M142,0)</f>
        <v>0</v>
      </c>
      <c r="AK142" s="137">
        <f>IF(AN142=15,M142,0)</f>
        <v>0</v>
      </c>
      <c r="AL142" s="137">
        <f>IF(AN142=21,M142,0)</f>
        <v>0</v>
      </c>
      <c r="AN142" s="137">
        <v>21</v>
      </c>
      <c r="AO142" s="137">
        <f>L142*0.14541782729805</f>
        <v>0</v>
      </c>
      <c r="AP142" s="137">
        <f>L142*(1-0.14541782729805)</f>
        <v>0</v>
      </c>
      <c r="AQ142" s="139" t="s">
        <v>2</v>
      </c>
      <c r="AV142" s="137">
        <f>AW142+AX142</f>
        <v>0</v>
      </c>
      <c r="AW142" s="137">
        <f>K142*AO142</f>
        <v>0</v>
      </c>
      <c r="AX142" s="137">
        <f>K142*AP142</f>
        <v>0</v>
      </c>
      <c r="AY142" s="139" t="s">
        <v>1814</v>
      </c>
      <c r="AZ142" s="139" t="s">
        <v>1787</v>
      </c>
      <c r="BA142" s="138" t="s">
        <v>1336</v>
      </c>
      <c r="BC142" s="137">
        <f>AW142+AX142</f>
        <v>0</v>
      </c>
      <c r="BD142" s="137">
        <f>L142/(100-BE142)*100</f>
        <v>0</v>
      </c>
      <c r="BE142" s="137">
        <v>0</v>
      </c>
      <c r="BF142" s="137">
        <f>142</f>
        <v>142</v>
      </c>
      <c r="BH142" s="137">
        <f>K142*AO142</f>
        <v>0</v>
      </c>
      <c r="BI142" s="137">
        <f>K142*AP142</f>
        <v>0</v>
      </c>
      <c r="BJ142" s="137">
        <f>K142*L142</f>
        <v>0</v>
      </c>
      <c r="BK142" s="137" t="s">
        <v>442</v>
      </c>
      <c r="BL142" s="137">
        <v>61</v>
      </c>
    </row>
    <row r="143" spans="1:64">
      <c r="A143" s="130"/>
      <c r="D143" s="157" t="s">
        <v>1817</v>
      </c>
      <c r="I143" s="156"/>
      <c r="K143" s="155">
        <v>2.4</v>
      </c>
      <c r="O143" s="154"/>
      <c r="P143" s="130"/>
    </row>
    <row r="144" spans="1:64">
      <c r="A144" s="142" t="s">
        <v>248</v>
      </c>
      <c r="B144" s="141" t="s">
        <v>1339</v>
      </c>
      <c r="C144" s="141" t="s">
        <v>1816</v>
      </c>
      <c r="D144" s="243" t="s">
        <v>1815</v>
      </c>
      <c r="E144" s="243"/>
      <c r="F144" s="243"/>
      <c r="G144" s="243"/>
      <c r="H144" s="243"/>
      <c r="I144" s="243"/>
      <c r="J144" s="141" t="s">
        <v>691</v>
      </c>
      <c r="K144" s="137">
        <v>12.785</v>
      </c>
      <c r="L144" s="203">
        <v>0</v>
      </c>
      <c r="M144" s="137">
        <f>K144*L144</f>
        <v>0</v>
      </c>
      <c r="N144" s="137">
        <v>5.3690000000000002E-2</v>
      </c>
      <c r="O144" s="140" t="s">
        <v>1340</v>
      </c>
      <c r="P144" s="130"/>
      <c r="Z144" s="137">
        <f>IF(AQ144="5",BJ144,0)</f>
        <v>0</v>
      </c>
      <c r="AB144" s="137">
        <f>IF(AQ144="1",BH144,0)</f>
        <v>0</v>
      </c>
      <c r="AC144" s="137">
        <f>IF(AQ144="1",BI144,0)</f>
        <v>0</v>
      </c>
      <c r="AD144" s="137">
        <f>IF(AQ144="7",BH144,0)</f>
        <v>0</v>
      </c>
      <c r="AE144" s="137">
        <f>IF(AQ144="7",BI144,0)</f>
        <v>0</v>
      </c>
      <c r="AF144" s="137">
        <f>IF(AQ144="2",BH144,0)</f>
        <v>0</v>
      </c>
      <c r="AG144" s="137">
        <f>IF(AQ144="2",BI144,0)</f>
        <v>0</v>
      </c>
      <c r="AH144" s="137">
        <f>IF(AQ144="0",BJ144,0)</f>
        <v>0</v>
      </c>
      <c r="AI144" s="138" t="s">
        <v>1339</v>
      </c>
      <c r="AJ144" s="137">
        <f>IF(AN144=0,M144,0)</f>
        <v>0</v>
      </c>
      <c r="AK144" s="137">
        <f>IF(AN144=15,M144,0)</f>
        <v>0</v>
      </c>
      <c r="AL144" s="137">
        <f>IF(AN144=21,M144,0)</f>
        <v>0</v>
      </c>
      <c r="AN144" s="137">
        <v>21</v>
      </c>
      <c r="AO144" s="137">
        <f>L144*0.14541782729805</f>
        <v>0</v>
      </c>
      <c r="AP144" s="137">
        <f>L144*(1-0.14541782729805)</f>
        <v>0</v>
      </c>
      <c r="AQ144" s="139" t="s">
        <v>2</v>
      </c>
      <c r="AV144" s="137">
        <f>AW144+AX144</f>
        <v>0</v>
      </c>
      <c r="AW144" s="137">
        <f>K144*AO144</f>
        <v>0</v>
      </c>
      <c r="AX144" s="137">
        <f>K144*AP144</f>
        <v>0</v>
      </c>
      <c r="AY144" s="139" t="s">
        <v>1814</v>
      </c>
      <c r="AZ144" s="139" t="s">
        <v>1787</v>
      </c>
      <c r="BA144" s="138" t="s">
        <v>1336</v>
      </c>
      <c r="BC144" s="137">
        <f>AW144+AX144</f>
        <v>0</v>
      </c>
      <c r="BD144" s="137">
        <f>L144/(100-BE144)*100</f>
        <v>0</v>
      </c>
      <c r="BE144" s="137">
        <v>0</v>
      </c>
      <c r="BF144" s="137">
        <f>144</f>
        <v>144</v>
      </c>
      <c r="BH144" s="137">
        <f>K144*AO144</f>
        <v>0</v>
      </c>
      <c r="BI144" s="137">
        <f>K144*AP144</f>
        <v>0</v>
      </c>
      <c r="BJ144" s="137">
        <f>K144*L144</f>
        <v>0</v>
      </c>
      <c r="BK144" s="137" t="s">
        <v>442</v>
      </c>
      <c r="BL144" s="137">
        <v>61</v>
      </c>
    </row>
    <row r="145" spans="1:64">
      <c r="A145" s="130"/>
      <c r="D145" s="157" t="s">
        <v>1813</v>
      </c>
      <c r="I145" s="156"/>
      <c r="K145" s="155">
        <v>6.8849999999999998</v>
      </c>
      <c r="O145" s="154"/>
      <c r="P145" s="130"/>
    </row>
    <row r="146" spans="1:64">
      <c r="A146" s="130"/>
      <c r="D146" s="157" t="s">
        <v>1812</v>
      </c>
      <c r="I146" s="156"/>
      <c r="K146" s="155">
        <v>5.9</v>
      </c>
      <c r="O146" s="154"/>
      <c r="P146" s="130"/>
    </row>
    <row r="147" spans="1:64">
      <c r="A147" s="147"/>
      <c r="B147" s="146" t="s">
        <v>1339</v>
      </c>
      <c r="C147" s="146" t="s">
        <v>187</v>
      </c>
      <c r="D147" s="252" t="s">
        <v>1811</v>
      </c>
      <c r="E147" s="252"/>
      <c r="F147" s="252"/>
      <c r="G147" s="252"/>
      <c r="H147" s="252"/>
      <c r="I147" s="252"/>
      <c r="J147" s="145" t="s">
        <v>1305</v>
      </c>
      <c r="K147" s="145" t="s">
        <v>1305</v>
      </c>
      <c r="L147" s="145" t="s">
        <v>1305</v>
      </c>
      <c r="M147" s="143">
        <f>SUM(M148:M148)</f>
        <v>0</v>
      </c>
      <c r="N147" s="138"/>
      <c r="O147" s="144"/>
      <c r="P147" s="130"/>
      <c r="AI147" s="138" t="s">
        <v>1339</v>
      </c>
      <c r="AS147" s="143">
        <f>SUM(AJ148:AJ148)</f>
        <v>0</v>
      </c>
      <c r="AT147" s="143">
        <f>SUM(AK148:AK148)</f>
        <v>0</v>
      </c>
      <c r="AU147" s="143">
        <f>SUM(AL148:AL148)</f>
        <v>0</v>
      </c>
    </row>
    <row r="148" spans="1:64">
      <c r="A148" s="142" t="s">
        <v>245</v>
      </c>
      <c r="B148" s="141" t="s">
        <v>1339</v>
      </c>
      <c r="C148" s="141" t="s">
        <v>1810</v>
      </c>
      <c r="D148" s="243" t="s">
        <v>1809</v>
      </c>
      <c r="E148" s="243"/>
      <c r="F148" s="243"/>
      <c r="G148" s="243"/>
      <c r="H148" s="243"/>
      <c r="I148" s="243"/>
      <c r="J148" s="141" t="s">
        <v>691</v>
      </c>
      <c r="K148" s="137">
        <v>5.3</v>
      </c>
      <c r="L148" s="203">
        <v>0</v>
      </c>
      <c r="M148" s="137">
        <f>K148*L148</f>
        <v>0</v>
      </c>
      <c r="N148" s="137">
        <v>5.2580000000000002E-2</v>
      </c>
      <c r="O148" s="140" t="s">
        <v>1340</v>
      </c>
      <c r="P148" s="130"/>
      <c r="Z148" s="137">
        <f>IF(AQ148="5",BJ148,0)</f>
        <v>0</v>
      </c>
      <c r="AB148" s="137">
        <f>IF(AQ148="1",BH148,0)</f>
        <v>0</v>
      </c>
      <c r="AC148" s="137">
        <f>IF(AQ148="1",BI148,0)</f>
        <v>0</v>
      </c>
      <c r="AD148" s="137">
        <f>IF(AQ148="7",BH148,0)</f>
        <v>0</v>
      </c>
      <c r="AE148" s="137">
        <f>IF(AQ148="7",BI148,0)</f>
        <v>0</v>
      </c>
      <c r="AF148" s="137">
        <f>IF(AQ148="2",BH148,0)</f>
        <v>0</v>
      </c>
      <c r="AG148" s="137">
        <f>IF(AQ148="2",BI148,0)</f>
        <v>0</v>
      </c>
      <c r="AH148" s="137">
        <f>IF(AQ148="0",BJ148,0)</f>
        <v>0</v>
      </c>
      <c r="AI148" s="138" t="s">
        <v>1339</v>
      </c>
      <c r="AJ148" s="137">
        <f>IF(AN148=0,M148,0)</f>
        <v>0</v>
      </c>
      <c r="AK148" s="137">
        <f>IF(AN148=15,M148,0)</f>
        <v>0</v>
      </c>
      <c r="AL148" s="137">
        <f>IF(AN148=21,M148,0)</f>
        <v>0</v>
      </c>
      <c r="AN148" s="137">
        <v>21</v>
      </c>
      <c r="AO148" s="137">
        <f>L148*0.099045871559633</f>
        <v>0</v>
      </c>
      <c r="AP148" s="137">
        <f>L148*(1-0.099045871559633)</f>
        <v>0</v>
      </c>
      <c r="AQ148" s="139" t="s">
        <v>2</v>
      </c>
      <c r="AV148" s="137">
        <f>AW148+AX148</f>
        <v>0</v>
      </c>
      <c r="AW148" s="137">
        <f>K148*AO148</f>
        <v>0</v>
      </c>
      <c r="AX148" s="137">
        <f>K148*AP148</f>
        <v>0</v>
      </c>
      <c r="AY148" s="139" t="s">
        <v>1808</v>
      </c>
      <c r="AZ148" s="139" t="s">
        <v>1787</v>
      </c>
      <c r="BA148" s="138" t="s">
        <v>1336</v>
      </c>
      <c r="BC148" s="137">
        <f>AW148+AX148</f>
        <v>0</v>
      </c>
      <c r="BD148" s="137">
        <f>L148/(100-BE148)*100</f>
        <v>0</v>
      </c>
      <c r="BE148" s="137">
        <v>0</v>
      </c>
      <c r="BF148" s="137">
        <f>148</f>
        <v>148</v>
      </c>
      <c r="BH148" s="137">
        <f>K148*AO148</f>
        <v>0</v>
      </c>
      <c r="BI148" s="137">
        <f>K148*AP148</f>
        <v>0</v>
      </c>
      <c r="BJ148" s="137">
        <f>K148*L148</f>
        <v>0</v>
      </c>
      <c r="BK148" s="137" t="s">
        <v>442</v>
      </c>
      <c r="BL148" s="137">
        <v>62</v>
      </c>
    </row>
    <row r="149" spans="1:64">
      <c r="A149" s="130"/>
      <c r="D149" s="157" t="s">
        <v>1807</v>
      </c>
      <c r="I149" s="156"/>
      <c r="K149" s="155">
        <v>5.3</v>
      </c>
      <c r="O149" s="154"/>
      <c r="P149" s="130"/>
    </row>
    <row r="150" spans="1:64">
      <c r="A150" s="147"/>
      <c r="B150" s="146" t="s">
        <v>1339</v>
      </c>
      <c r="C150" s="146" t="s">
        <v>183</v>
      </c>
      <c r="D150" s="252" t="s">
        <v>1806</v>
      </c>
      <c r="E150" s="252"/>
      <c r="F150" s="252"/>
      <c r="G150" s="252"/>
      <c r="H150" s="252"/>
      <c r="I150" s="252"/>
      <c r="J150" s="145" t="s">
        <v>1305</v>
      </c>
      <c r="K150" s="145" t="s">
        <v>1305</v>
      </c>
      <c r="L150" s="145" t="s">
        <v>1305</v>
      </c>
      <c r="M150" s="143">
        <f>SUM(M151:M156)</f>
        <v>0</v>
      </c>
      <c r="N150" s="138"/>
      <c r="O150" s="144"/>
      <c r="P150" s="130"/>
      <c r="AI150" s="138" t="s">
        <v>1339</v>
      </c>
      <c r="AS150" s="143">
        <f>SUM(AJ151:AJ156)</f>
        <v>0</v>
      </c>
      <c r="AT150" s="143">
        <f>SUM(AK151:AK156)</f>
        <v>0</v>
      </c>
      <c r="AU150" s="143">
        <f>SUM(AL151:AL156)</f>
        <v>0</v>
      </c>
    </row>
    <row r="151" spans="1:64">
      <c r="A151" s="142" t="s">
        <v>242</v>
      </c>
      <c r="B151" s="141" t="s">
        <v>1339</v>
      </c>
      <c r="C151" s="141" t="s">
        <v>1805</v>
      </c>
      <c r="D151" s="243" t="s">
        <v>1804</v>
      </c>
      <c r="E151" s="243"/>
      <c r="F151" s="243"/>
      <c r="G151" s="243"/>
      <c r="H151" s="243"/>
      <c r="I151" s="243"/>
      <c r="J151" s="141" t="s">
        <v>691</v>
      </c>
      <c r="K151" s="137">
        <v>9.5</v>
      </c>
      <c r="L151" s="203">
        <v>0</v>
      </c>
      <c r="M151" s="137">
        <f>K151*L151</f>
        <v>0</v>
      </c>
      <c r="N151" s="137">
        <v>7.0400000000000003E-3</v>
      </c>
      <c r="O151" s="140" t="s">
        <v>1340</v>
      </c>
      <c r="P151" s="130"/>
      <c r="Z151" s="137">
        <f>IF(AQ151="5",BJ151,0)</f>
        <v>0</v>
      </c>
      <c r="AB151" s="137">
        <f>IF(AQ151="1",BH151,0)</f>
        <v>0</v>
      </c>
      <c r="AC151" s="137">
        <f>IF(AQ151="1",BI151,0)</f>
        <v>0</v>
      </c>
      <c r="AD151" s="137">
        <f>IF(AQ151="7",BH151,0)</f>
        <v>0</v>
      </c>
      <c r="AE151" s="137">
        <f>IF(AQ151="7",BI151,0)</f>
        <v>0</v>
      </c>
      <c r="AF151" s="137">
        <f>IF(AQ151="2",BH151,0)</f>
        <v>0</v>
      </c>
      <c r="AG151" s="137">
        <f>IF(AQ151="2",BI151,0)</f>
        <v>0</v>
      </c>
      <c r="AH151" s="137">
        <f>IF(AQ151="0",BJ151,0)</f>
        <v>0</v>
      </c>
      <c r="AI151" s="138" t="s">
        <v>1339</v>
      </c>
      <c r="AJ151" s="137">
        <f>IF(AN151=0,M151,0)</f>
        <v>0</v>
      </c>
      <c r="AK151" s="137">
        <f>IF(AN151=15,M151,0)</f>
        <v>0</v>
      </c>
      <c r="AL151" s="137">
        <f>IF(AN151=21,M151,0)</f>
        <v>0</v>
      </c>
      <c r="AN151" s="137">
        <v>21</v>
      </c>
      <c r="AO151" s="137">
        <f>L151*0.811214392803598</f>
        <v>0</v>
      </c>
      <c r="AP151" s="137">
        <f>L151*(1-0.811214392803598)</f>
        <v>0</v>
      </c>
      <c r="AQ151" s="139" t="s">
        <v>2</v>
      </c>
      <c r="AV151" s="137">
        <f>AW151+AX151</f>
        <v>0</v>
      </c>
      <c r="AW151" s="137">
        <f>K151*AO151</f>
        <v>0</v>
      </c>
      <c r="AX151" s="137">
        <f>K151*AP151</f>
        <v>0</v>
      </c>
      <c r="AY151" s="139" t="s">
        <v>1796</v>
      </c>
      <c r="AZ151" s="139" t="s">
        <v>1787</v>
      </c>
      <c r="BA151" s="138" t="s">
        <v>1336</v>
      </c>
      <c r="BC151" s="137">
        <f>AW151+AX151</f>
        <v>0</v>
      </c>
      <c r="BD151" s="137">
        <f>L151/(100-BE151)*100</f>
        <v>0</v>
      </c>
      <c r="BE151" s="137">
        <v>0</v>
      </c>
      <c r="BF151" s="137">
        <f>151</f>
        <v>151</v>
      </c>
      <c r="BH151" s="137">
        <f>K151*AO151</f>
        <v>0</v>
      </c>
      <c r="BI151" s="137">
        <f>K151*AP151</f>
        <v>0</v>
      </c>
      <c r="BJ151" s="137">
        <f>K151*L151</f>
        <v>0</v>
      </c>
      <c r="BK151" s="137" t="s">
        <v>442</v>
      </c>
      <c r="BL151" s="137">
        <v>63</v>
      </c>
    </row>
    <row r="152" spans="1:64" ht="14.65" customHeight="1">
      <c r="A152" s="130"/>
      <c r="D152" s="251" t="s">
        <v>1803</v>
      </c>
      <c r="E152" s="251"/>
      <c r="F152" s="251"/>
      <c r="G152" s="251"/>
      <c r="H152" s="251"/>
      <c r="I152" s="251"/>
      <c r="J152" s="251"/>
      <c r="K152" s="251"/>
      <c r="L152" s="251"/>
      <c r="M152" s="251"/>
      <c r="N152" s="251"/>
      <c r="O152" s="251"/>
      <c r="P152" s="130"/>
    </row>
    <row r="153" spans="1:64">
      <c r="A153" s="130"/>
      <c r="D153" s="157" t="s">
        <v>1802</v>
      </c>
      <c r="I153" s="156"/>
      <c r="K153" s="155">
        <v>9.5</v>
      </c>
      <c r="O153" s="154"/>
      <c r="P153" s="130"/>
    </row>
    <row r="154" spans="1:64">
      <c r="A154" s="142" t="s">
        <v>239</v>
      </c>
      <c r="B154" s="141" t="s">
        <v>1339</v>
      </c>
      <c r="C154" s="141" t="s">
        <v>1801</v>
      </c>
      <c r="D154" s="243" t="s">
        <v>1800</v>
      </c>
      <c r="E154" s="243"/>
      <c r="F154" s="243"/>
      <c r="G154" s="243"/>
      <c r="H154" s="243"/>
      <c r="I154" s="243"/>
      <c r="J154" s="141" t="s">
        <v>1261</v>
      </c>
      <c r="K154" s="137">
        <v>0.40500000000000003</v>
      </c>
      <c r="L154" s="203">
        <v>0</v>
      </c>
      <c r="M154" s="137">
        <f>K154*L154</f>
        <v>0</v>
      </c>
      <c r="N154" s="137">
        <v>2.5</v>
      </c>
      <c r="O154" s="140" t="s">
        <v>1340</v>
      </c>
      <c r="P154" s="130"/>
      <c r="Z154" s="137">
        <f>IF(AQ154="5",BJ154,0)</f>
        <v>0</v>
      </c>
      <c r="AB154" s="137">
        <f>IF(AQ154="1",BH154,0)</f>
        <v>0</v>
      </c>
      <c r="AC154" s="137">
        <f>IF(AQ154="1",BI154,0)</f>
        <v>0</v>
      </c>
      <c r="AD154" s="137">
        <f>IF(AQ154="7",BH154,0)</f>
        <v>0</v>
      </c>
      <c r="AE154" s="137">
        <f>IF(AQ154="7",BI154,0)</f>
        <v>0</v>
      </c>
      <c r="AF154" s="137">
        <f>IF(AQ154="2",BH154,0)</f>
        <v>0</v>
      </c>
      <c r="AG154" s="137">
        <f>IF(AQ154="2",BI154,0)</f>
        <v>0</v>
      </c>
      <c r="AH154" s="137">
        <f>IF(AQ154="0",BJ154,0)</f>
        <v>0</v>
      </c>
      <c r="AI154" s="138" t="s">
        <v>1339</v>
      </c>
      <c r="AJ154" s="137">
        <f>IF(AN154=0,M154,0)</f>
        <v>0</v>
      </c>
      <c r="AK154" s="137">
        <f>IF(AN154=15,M154,0)</f>
        <v>0</v>
      </c>
      <c r="AL154" s="137">
        <f>IF(AN154=21,M154,0)</f>
        <v>0</v>
      </c>
      <c r="AN154" s="137">
        <v>21</v>
      </c>
      <c r="AO154" s="137">
        <f>L154*0.567085509022764</f>
        <v>0</v>
      </c>
      <c r="AP154" s="137">
        <f>L154*(1-0.567085509022764)</f>
        <v>0</v>
      </c>
      <c r="AQ154" s="139" t="s">
        <v>2</v>
      </c>
      <c r="AV154" s="137">
        <f>AW154+AX154</f>
        <v>0</v>
      </c>
      <c r="AW154" s="137">
        <f>K154*AO154</f>
        <v>0</v>
      </c>
      <c r="AX154" s="137">
        <f>K154*AP154</f>
        <v>0</v>
      </c>
      <c r="AY154" s="139" t="s">
        <v>1796</v>
      </c>
      <c r="AZ154" s="139" t="s">
        <v>1787</v>
      </c>
      <c r="BA154" s="138" t="s">
        <v>1336</v>
      </c>
      <c r="BC154" s="137">
        <f>AW154+AX154</f>
        <v>0</v>
      </c>
      <c r="BD154" s="137">
        <f>L154/(100-BE154)*100</f>
        <v>0</v>
      </c>
      <c r="BE154" s="137">
        <v>0</v>
      </c>
      <c r="BF154" s="137">
        <f>154</f>
        <v>154</v>
      </c>
      <c r="BH154" s="137">
        <f>K154*AO154</f>
        <v>0</v>
      </c>
      <c r="BI154" s="137">
        <f>K154*AP154</f>
        <v>0</v>
      </c>
      <c r="BJ154" s="137">
        <f>K154*L154</f>
        <v>0</v>
      </c>
      <c r="BK154" s="137" t="s">
        <v>442</v>
      </c>
      <c r="BL154" s="137">
        <v>63</v>
      </c>
    </row>
    <row r="155" spans="1:64">
      <c r="A155" s="130"/>
      <c r="D155" s="157" t="s">
        <v>1799</v>
      </c>
      <c r="I155" s="156"/>
      <c r="K155" s="155">
        <v>0.40500000000000003</v>
      </c>
      <c r="O155" s="154"/>
      <c r="P155" s="130"/>
    </row>
    <row r="156" spans="1:64">
      <c r="A156" s="142" t="s">
        <v>236</v>
      </c>
      <c r="B156" s="141" t="s">
        <v>1339</v>
      </c>
      <c r="C156" s="141" t="s">
        <v>1798</v>
      </c>
      <c r="D156" s="243" t="s">
        <v>1797</v>
      </c>
      <c r="E156" s="243"/>
      <c r="F156" s="243"/>
      <c r="G156" s="243"/>
      <c r="H156" s="243"/>
      <c r="I156" s="243"/>
      <c r="J156" s="141" t="s">
        <v>1261</v>
      </c>
      <c r="K156" s="137">
        <v>0.2354</v>
      </c>
      <c r="L156" s="203">
        <v>0</v>
      </c>
      <c r="M156" s="137">
        <f>K156*L156</f>
        <v>0</v>
      </c>
      <c r="N156" s="137">
        <v>2.5</v>
      </c>
      <c r="O156" s="140" t="s">
        <v>1340</v>
      </c>
      <c r="P156" s="130"/>
      <c r="Z156" s="137">
        <f>IF(AQ156="5",BJ156,0)</f>
        <v>0</v>
      </c>
      <c r="AB156" s="137">
        <f>IF(AQ156="1",BH156,0)</f>
        <v>0</v>
      </c>
      <c r="AC156" s="137">
        <f>IF(AQ156="1",BI156,0)</f>
        <v>0</v>
      </c>
      <c r="AD156" s="137">
        <f>IF(AQ156="7",BH156,0)</f>
        <v>0</v>
      </c>
      <c r="AE156" s="137">
        <f>IF(AQ156="7",BI156,0)</f>
        <v>0</v>
      </c>
      <c r="AF156" s="137">
        <f>IF(AQ156="2",BH156,0)</f>
        <v>0</v>
      </c>
      <c r="AG156" s="137">
        <f>IF(AQ156="2",BI156,0)</f>
        <v>0</v>
      </c>
      <c r="AH156" s="137">
        <f>IF(AQ156="0",BJ156,0)</f>
        <v>0</v>
      </c>
      <c r="AI156" s="138" t="s">
        <v>1339</v>
      </c>
      <c r="AJ156" s="137">
        <f>IF(AN156=0,M156,0)</f>
        <v>0</v>
      </c>
      <c r="AK156" s="137">
        <f>IF(AN156=15,M156,0)</f>
        <v>0</v>
      </c>
      <c r="AL156" s="137">
        <f>IF(AN156=21,M156,0)</f>
        <v>0</v>
      </c>
      <c r="AN156" s="137">
        <v>21</v>
      </c>
      <c r="AO156" s="137">
        <f>L156*0.455016651658118</f>
        <v>0</v>
      </c>
      <c r="AP156" s="137">
        <f>L156*(1-0.455016651658118)</f>
        <v>0</v>
      </c>
      <c r="AQ156" s="139" t="s">
        <v>2</v>
      </c>
      <c r="AV156" s="137">
        <f>AW156+AX156</f>
        <v>0</v>
      </c>
      <c r="AW156" s="137">
        <f>K156*AO156</f>
        <v>0</v>
      </c>
      <c r="AX156" s="137">
        <f>K156*AP156</f>
        <v>0</v>
      </c>
      <c r="AY156" s="139" t="s">
        <v>1796</v>
      </c>
      <c r="AZ156" s="139" t="s">
        <v>1787</v>
      </c>
      <c r="BA156" s="138" t="s">
        <v>1336</v>
      </c>
      <c r="BC156" s="137">
        <f>AW156+AX156</f>
        <v>0</v>
      </c>
      <c r="BD156" s="137">
        <f>L156/(100-BE156)*100</f>
        <v>0</v>
      </c>
      <c r="BE156" s="137">
        <v>0</v>
      </c>
      <c r="BF156" s="137">
        <f>156</f>
        <v>156</v>
      </c>
      <c r="BH156" s="137">
        <f>K156*AO156</f>
        <v>0</v>
      </c>
      <c r="BI156" s="137">
        <f>K156*AP156</f>
        <v>0</v>
      </c>
      <c r="BJ156" s="137">
        <f>K156*L156</f>
        <v>0</v>
      </c>
      <c r="BK156" s="137" t="s">
        <v>442</v>
      </c>
      <c r="BL156" s="137">
        <v>63</v>
      </c>
    </row>
    <row r="157" spans="1:64">
      <c r="A157" s="130"/>
      <c r="D157" s="157" t="s">
        <v>1795</v>
      </c>
      <c r="I157" s="156"/>
      <c r="K157" s="155">
        <v>0.1394</v>
      </c>
      <c r="O157" s="154"/>
      <c r="P157" s="130"/>
    </row>
    <row r="158" spans="1:64">
      <c r="A158" s="130"/>
      <c r="D158" s="157" t="s">
        <v>1407</v>
      </c>
      <c r="I158" s="156"/>
      <c r="K158" s="155">
        <v>9.6000000000000002E-2</v>
      </c>
      <c r="O158" s="154"/>
      <c r="P158" s="130"/>
    </row>
    <row r="159" spans="1:64">
      <c r="A159" s="147"/>
      <c r="B159" s="146" t="s">
        <v>1339</v>
      </c>
      <c r="C159" s="146" t="s">
        <v>179</v>
      </c>
      <c r="D159" s="252" t="s">
        <v>1794</v>
      </c>
      <c r="E159" s="252"/>
      <c r="F159" s="252"/>
      <c r="G159" s="252"/>
      <c r="H159" s="252"/>
      <c r="I159" s="252"/>
      <c r="J159" s="145" t="s">
        <v>1305</v>
      </c>
      <c r="K159" s="145" t="s">
        <v>1305</v>
      </c>
      <c r="L159" s="145" t="s">
        <v>1305</v>
      </c>
      <c r="M159" s="143">
        <f>SUM(M160:M163)</f>
        <v>0</v>
      </c>
      <c r="N159" s="138"/>
      <c r="O159" s="144"/>
      <c r="P159" s="130"/>
      <c r="AI159" s="138" t="s">
        <v>1339</v>
      </c>
      <c r="AS159" s="143">
        <f>SUM(AJ160:AJ163)</f>
        <v>0</v>
      </c>
      <c r="AT159" s="143">
        <f>SUM(AK160:AK163)</f>
        <v>0</v>
      </c>
      <c r="AU159" s="143">
        <f>SUM(AL160:AL163)</f>
        <v>0</v>
      </c>
    </row>
    <row r="160" spans="1:64">
      <c r="A160" s="142" t="s">
        <v>233</v>
      </c>
      <c r="B160" s="141" t="s">
        <v>1339</v>
      </c>
      <c r="C160" s="141" t="s">
        <v>1793</v>
      </c>
      <c r="D160" s="243" t="s">
        <v>1792</v>
      </c>
      <c r="E160" s="243"/>
      <c r="F160" s="243"/>
      <c r="G160" s="243"/>
      <c r="H160" s="243"/>
      <c r="I160" s="243"/>
      <c r="J160" s="141" t="s">
        <v>722</v>
      </c>
      <c r="K160" s="137">
        <v>3</v>
      </c>
      <c r="L160" s="203">
        <v>0</v>
      </c>
      <c r="M160" s="137">
        <f>K160*L160</f>
        <v>0</v>
      </c>
      <c r="N160" s="137">
        <v>6.6210000000000005E-2</v>
      </c>
      <c r="O160" s="140" t="s">
        <v>1340</v>
      </c>
      <c r="P160" s="130"/>
      <c r="Z160" s="137">
        <f>IF(AQ160="5",BJ160,0)</f>
        <v>0</v>
      </c>
      <c r="AB160" s="137">
        <f>IF(AQ160="1",BH160,0)</f>
        <v>0</v>
      </c>
      <c r="AC160" s="137">
        <f>IF(AQ160="1",BI160,0)</f>
        <v>0</v>
      </c>
      <c r="AD160" s="137">
        <f>IF(AQ160="7",BH160,0)</f>
        <v>0</v>
      </c>
      <c r="AE160" s="137">
        <f>IF(AQ160="7",BI160,0)</f>
        <v>0</v>
      </c>
      <c r="AF160" s="137">
        <f>IF(AQ160="2",BH160,0)</f>
        <v>0</v>
      </c>
      <c r="AG160" s="137">
        <f>IF(AQ160="2",BI160,0)</f>
        <v>0</v>
      </c>
      <c r="AH160" s="137">
        <f>IF(AQ160="0",BJ160,0)</f>
        <v>0</v>
      </c>
      <c r="AI160" s="138" t="s">
        <v>1339</v>
      </c>
      <c r="AJ160" s="137">
        <f>IF(AN160=0,M160,0)</f>
        <v>0</v>
      </c>
      <c r="AK160" s="137">
        <f>IF(AN160=15,M160,0)</f>
        <v>0</v>
      </c>
      <c r="AL160" s="137">
        <f>IF(AN160=21,M160,0)</f>
        <v>0</v>
      </c>
      <c r="AN160" s="137">
        <v>21</v>
      </c>
      <c r="AO160" s="137">
        <f>L160*0.649043918918919</f>
        <v>0</v>
      </c>
      <c r="AP160" s="137">
        <f>L160*(1-0.649043918918919)</f>
        <v>0</v>
      </c>
      <c r="AQ160" s="139" t="s">
        <v>2</v>
      </c>
      <c r="AV160" s="137">
        <f>AW160+AX160</f>
        <v>0</v>
      </c>
      <c r="AW160" s="137">
        <f>K160*AO160</f>
        <v>0</v>
      </c>
      <c r="AX160" s="137">
        <f>K160*AP160</f>
        <v>0</v>
      </c>
      <c r="AY160" s="139" t="s">
        <v>1788</v>
      </c>
      <c r="AZ160" s="139" t="s">
        <v>1787</v>
      </c>
      <c r="BA160" s="138" t="s">
        <v>1336</v>
      </c>
      <c r="BC160" s="137">
        <f>AW160+AX160</f>
        <v>0</v>
      </c>
      <c r="BD160" s="137">
        <f>L160/(100-BE160)*100</f>
        <v>0</v>
      </c>
      <c r="BE160" s="137">
        <v>0</v>
      </c>
      <c r="BF160" s="137">
        <f>160</f>
        <v>160</v>
      </c>
      <c r="BH160" s="137">
        <f>K160*AO160</f>
        <v>0</v>
      </c>
      <c r="BI160" s="137">
        <f>K160*AP160</f>
        <v>0</v>
      </c>
      <c r="BJ160" s="137">
        <f>K160*L160</f>
        <v>0</v>
      </c>
      <c r="BK160" s="137" t="s">
        <v>442</v>
      </c>
      <c r="BL160" s="137">
        <v>64</v>
      </c>
    </row>
    <row r="161" spans="1:64" ht="14.65" customHeight="1">
      <c r="A161" s="130"/>
      <c r="D161" s="251" t="s">
        <v>1791</v>
      </c>
      <c r="E161" s="251"/>
      <c r="F161" s="251"/>
      <c r="G161" s="251"/>
      <c r="H161" s="251"/>
      <c r="I161" s="251"/>
      <c r="J161" s="251"/>
      <c r="K161" s="251"/>
      <c r="L161" s="251"/>
      <c r="M161" s="251"/>
      <c r="N161" s="251"/>
      <c r="O161" s="251"/>
      <c r="P161" s="130"/>
    </row>
    <row r="162" spans="1:64">
      <c r="A162" s="130"/>
      <c r="D162" s="157" t="s">
        <v>362</v>
      </c>
      <c r="I162" s="156"/>
      <c r="K162" s="155">
        <v>3</v>
      </c>
      <c r="O162" s="154"/>
      <c r="P162" s="130"/>
    </row>
    <row r="163" spans="1:64">
      <c r="A163" s="142" t="s">
        <v>228</v>
      </c>
      <c r="B163" s="141" t="s">
        <v>1339</v>
      </c>
      <c r="C163" s="141" t="s">
        <v>1790</v>
      </c>
      <c r="D163" s="243" t="s">
        <v>1789</v>
      </c>
      <c r="E163" s="243"/>
      <c r="F163" s="243"/>
      <c r="G163" s="243"/>
      <c r="H163" s="243"/>
      <c r="I163" s="243"/>
      <c r="J163" s="141" t="s">
        <v>8</v>
      </c>
      <c r="K163" s="137">
        <v>3</v>
      </c>
      <c r="L163" s="203">
        <v>0</v>
      </c>
      <c r="M163" s="137">
        <f>K163*L163</f>
        <v>0</v>
      </c>
      <c r="N163" s="137">
        <v>0</v>
      </c>
      <c r="O163" s="140" t="s">
        <v>1302</v>
      </c>
      <c r="P163" s="130"/>
      <c r="Z163" s="137">
        <f>IF(AQ163="5",BJ163,0)</f>
        <v>0</v>
      </c>
      <c r="AB163" s="137">
        <f>IF(AQ163="1",BH163,0)</f>
        <v>0</v>
      </c>
      <c r="AC163" s="137">
        <f>IF(AQ163="1",BI163,0)</f>
        <v>0</v>
      </c>
      <c r="AD163" s="137">
        <f>IF(AQ163="7",BH163,0)</f>
        <v>0</v>
      </c>
      <c r="AE163" s="137">
        <f>IF(AQ163="7",BI163,0)</f>
        <v>0</v>
      </c>
      <c r="AF163" s="137">
        <f>IF(AQ163="2",BH163,0)</f>
        <v>0</v>
      </c>
      <c r="AG163" s="137">
        <f>IF(AQ163="2",BI163,0)</f>
        <v>0</v>
      </c>
      <c r="AH163" s="137">
        <f>IF(AQ163="0",BJ163,0)</f>
        <v>0</v>
      </c>
      <c r="AI163" s="138" t="s">
        <v>1339</v>
      </c>
      <c r="AJ163" s="137">
        <f>IF(AN163=0,M163,0)</f>
        <v>0</v>
      </c>
      <c r="AK163" s="137">
        <f>IF(AN163=15,M163,0)</f>
        <v>0</v>
      </c>
      <c r="AL163" s="137">
        <f>IF(AN163=21,M163,0)</f>
        <v>0</v>
      </c>
      <c r="AN163" s="137">
        <v>21</v>
      </c>
      <c r="AO163" s="137">
        <f>L163*0</f>
        <v>0</v>
      </c>
      <c r="AP163" s="137">
        <f>L163*(1-0)</f>
        <v>0</v>
      </c>
      <c r="AQ163" s="139" t="s">
        <v>2</v>
      </c>
      <c r="AV163" s="137">
        <f>AW163+AX163</f>
        <v>0</v>
      </c>
      <c r="AW163" s="137">
        <f>K163*AO163</f>
        <v>0</v>
      </c>
      <c r="AX163" s="137">
        <f>K163*AP163</f>
        <v>0</v>
      </c>
      <c r="AY163" s="139" t="s">
        <v>1788</v>
      </c>
      <c r="AZ163" s="139" t="s">
        <v>1787</v>
      </c>
      <c r="BA163" s="138" t="s">
        <v>1336</v>
      </c>
      <c r="BC163" s="137">
        <f>AW163+AX163</f>
        <v>0</v>
      </c>
      <c r="BD163" s="137">
        <f>L163/(100-BE163)*100</f>
        <v>0</v>
      </c>
      <c r="BE163" s="137">
        <v>0</v>
      </c>
      <c r="BF163" s="137">
        <f>163</f>
        <v>163</v>
      </c>
      <c r="BH163" s="137">
        <f>K163*AO163</f>
        <v>0</v>
      </c>
      <c r="BI163" s="137">
        <f>K163*AP163</f>
        <v>0</v>
      </c>
      <c r="BJ163" s="137">
        <f>K163*L163</f>
        <v>0</v>
      </c>
      <c r="BK163" s="137" t="s">
        <v>442</v>
      </c>
      <c r="BL163" s="137">
        <v>64</v>
      </c>
    </row>
    <row r="164" spans="1:64">
      <c r="A164" s="130"/>
      <c r="D164" s="157" t="s">
        <v>362</v>
      </c>
      <c r="I164" s="156"/>
      <c r="K164" s="155">
        <v>3</v>
      </c>
      <c r="O164" s="154"/>
      <c r="P164" s="130"/>
    </row>
    <row r="165" spans="1:64">
      <c r="A165" s="147"/>
      <c r="B165" s="146" t="s">
        <v>1339</v>
      </c>
      <c r="C165" s="146" t="s">
        <v>1786</v>
      </c>
      <c r="D165" s="252" t="s">
        <v>1785</v>
      </c>
      <c r="E165" s="252"/>
      <c r="F165" s="252"/>
      <c r="G165" s="252"/>
      <c r="H165" s="252"/>
      <c r="I165" s="252"/>
      <c r="J165" s="145" t="s">
        <v>1305</v>
      </c>
      <c r="K165" s="145" t="s">
        <v>1305</v>
      </c>
      <c r="L165" s="145" t="s">
        <v>1305</v>
      </c>
      <c r="M165" s="143">
        <f>SUM(M166:M172)</f>
        <v>0</v>
      </c>
      <c r="N165" s="138"/>
      <c r="O165" s="144"/>
      <c r="P165" s="130"/>
      <c r="AI165" s="138" t="s">
        <v>1339</v>
      </c>
      <c r="AS165" s="143">
        <f>SUM(AJ166:AJ172)</f>
        <v>0</v>
      </c>
      <c r="AT165" s="143">
        <f>SUM(AK166:AK172)</f>
        <v>0</v>
      </c>
      <c r="AU165" s="143">
        <f>SUM(AL166:AL172)</f>
        <v>0</v>
      </c>
    </row>
    <row r="166" spans="1:64">
      <c r="A166" s="142" t="s">
        <v>225</v>
      </c>
      <c r="B166" s="141" t="s">
        <v>1339</v>
      </c>
      <c r="C166" s="141" t="s">
        <v>1784</v>
      </c>
      <c r="D166" s="243" t="s">
        <v>1783</v>
      </c>
      <c r="E166" s="243"/>
      <c r="F166" s="243"/>
      <c r="G166" s="243"/>
      <c r="H166" s="243"/>
      <c r="I166" s="243"/>
      <c r="J166" s="141" t="s">
        <v>691</v>
      </c>
      <c r="K166" s="137">
        <v>2.97</v>
      </c>
      <c r="L166" s="203">
        <v>0</v>
      </c>
      <c r="M166" s="137">
        <f>K166*L166</f>
        <v>0</v>
      </c>
      <c r="N166" s="137">
        <v>3.3E-4</v>
      </c>
      <c r="O166" s="140" t="s">
        <v>1340</v>
      </c>
      <c r="P166" s="130"/>
      <c r="Z166" s="137">
        <f>IF(AQ166="5",BJ166,0)</f>
        <v>0</v>
      </c>
      <c r="AB166" s="137">
        <f>IF(AQ166="1",BH166,0)</f>
        <v>0</v>
      </c>
      <c r="AC166" s="137">
        <f>IF(AQ166="1",BI166,0)</f>
        <v>0</v>
      </c>
      <c r="AD166" s="137">
        <f>IF(AQ166="7",BH166,0)</f>
        <v>0</v>
      </c>
      <c r="AE166" s="137">
        <f>IF(AQ166="7",BI166,0)</f>
        <v>0</v>
      </c>
      <c r="AF166" s="137">
        <f>IF(AQ166="2",BH166,0)</f>
        <v>0</v>
      </c>
      <c r="AG166" s="137">
        <f>IF(AQ166="2",BI166,0)</f>
        <v>0</v>
      </c>
      <c r="AH166" s="137">
        <f>IF(AQ166="0",BJ166,0)</f>
        <v>0</v>
      </c>
      <c r="AI166" s="138" t="s">
        <v>1339</v>
      </c>
      <c r="AJ166" s="137">
        <f>IF(AN166=0,M166,0)</f>
        <v>0</v>
      </c>
      <c r="AK166" s="137">
        <f>IF(AN166=15,M166,0)</f>
        <v>0</v>
      </c>
      <c r="AL166" s="137">
        <f>IF(AN166=21,M166,0)</f>
        <v>0</v>
      </c>
      <c r="AN166" s="137">
        <v>21</v>
      </c>
      <c r="AO166" s="137">
        <f>L166*0.608114256825076</f>
        <v>0</v>
      </c>
      <c r="AP166" s="137">
        <f>L166*(1-0.608114256825076)</f>
        <v>0</v>
      </c>
      <c r="AQ166" s="139" t="s">
        <v>352</v>
      </c>
      <c r="AV166" s="137">
        <f>AW166+AX166</f>
        <v>0</v>
      </c>
      <c r="AW166" s="137">
        <f>K166*AO166</f>
        <v>0</v>
      </c>
      <c r="AX166" s="137">
        <f>K166*AP166</f>
        <v>0</v>
      </c>
      <c r="AY166" s="139" t="s">
        <v>1775</v>
      </c>
      <c r="AZ166" s="139" t="s">
        <v>1745</v>
      </c>
      <c r="BA166" s="138" t="s">
        <v>1336</v>
      </c>
      <c r="BC166" s="137">
        <f>AW166+AX166</f>
        <v>0</v>
      </c>
      <c r="BD166" s="137">
        <f>L166/(100-BE166)*100</f>
        <v>0</v>
      </c>
      <c r="BE166" s="137">
        <v>0</v>
      </c>
      <c r="BF166" s="137">
        <f>166</f>
        <v>166</v>
      </c>
      <c r="BH166" s="137">
        <f>K166*AO166</f>
        <v>0</v>
      </c>
      <c r="BI166" s="137">
        <f>K166*AP166</f>
        <v>0</v>
      </c>
      <c r="BJ166" s="137">
        <f>K166*L166</f>
        <v>0</v>
      </c>
      <c r="BK166" s="137" t="s">
        <v>442</v>
      </c>
      <c r="BL166" s="137">
        <v>711</v>
      </c>
    </row>
    <row r="167" spans="1:64" ht="14.65" customHeight="1">
      <c r="A167" s="130"/>
      <c r="D167" s="251" t="s">
        <v>1782</v>
      </c>
      <c r="E167" s="251"/>
      <c r="F167" s="251"/>
      <c r="G167" s="251"/>
      <c r="H167" s="251"/>
      <c r="I167" s="251"/>
      <c r="J167" s="251"/>
      <c r="K167" s="251"/>
      <c r="L167" s="251"/>
      <c r="M167" s="251"/>
      <c r="N167" s="251"/>
      <c r="O167" s="251"/>
      <c r="P167" s="130"/>
    </row>
    <row r="168" spans="1:64">
      <c r="A168" s="130"/>
      <c r="D168" s="157" t="s">
        <v>1778</v>
      </c>
      <c r="I168" s="156"/>
      <c r="K168" s="155">
        <v>2.97</v>
      </c>
      <c r="O168" s="154"/>
      <c r="P168" s="130"/>
    </row>
    <row r="169" spans="1:64">
      <c r="A169" s="142" t="s">
        <v>222</v>
      </c>
      <c r="B169" s="141" t="s">
        <v>1339</v>
      </c>
      <c r="C169" s="141" t="s">
        <v>1781</v>
      </c>
      <c r="D169" s="243" t="s">
        <v>1780</v>
      </c>
      <c r="E169" s="243"/>
      <c r="F169" s="243"/>
      <c r="G169" s="243"/>
      <c r="H169" s="243"/>
      <c r="I169" s="243"/>
      <c r="J169" s="141" t="s">
        <v>691</v>
      </c>
      <c r="K169" s="137">
        <v>2.97</v>
      </c>
      <c r="L169" s="203">
        <v>0</v>
      </c>
      <c r="M169" s="137">
        <f>K169*L169</f>
        <v>0</v>
      </c>
      <c r="N169" s="137">
        <v>4.8700000000000002E-3</v>
      </c>
      <c r="O169" s="140" t="s">
        <v>1340</v>
      </c>
      <c r="P169" s="130"/>
      <c r="Z169" s="137">
        <f>IF(AQ169="5",BJ169,0)</f>
        <v>0</v>
      </c>
      <c r="AB169" s="137">
        <f>IF(AQ169="1",BH169,0)</f>
        <v>0</v>
      </c>
      <c r="AC169" s="137">
        <f>IF(AQ169="1",BI169,0)</f>
        <v>0</v>
      </c>
      <c r="AD169" s="137">
        <f>IF(AQ169="7",BH169,0)</f>
        <v>0</v>
      </c>
      <c r="AE169" s="137">
        <f>IF(AQ169="7",BI169,0)</f>
        <v>0</v>
      </c>
      <c r="AF169" s="137">
        <f>IF(AQ169="2",BH169,0)</f>
        <v>0</v>
      </c>
      <c r="AG169" s="137">
        <f>IF(AQ169="2",BI169,0)</f>
        <v>0</v>
      </c>
      <c r="AH169" s="137">
        <f>IF(AQ169="0",BJ169,0)</f>
        <v>0</v>
      </c>
      <c r="AI169" s="138" t="s">
        <v>1339</v>
      </c>
      <c r="AJ169" s="137">
        <f>IF(AN169=0,M169,0)</f>
        <v>0</v>
      </c>
      <c r="AK169" s="137">
        <f>IF(AN169=15,M169,0)</f>
        <v>0</v>
      </c>
      <c r="AL169" s="137">
        <f>IF(AN169=21,M169,0)</f>
        <v>0</v>
      </c>
      <c r="AN169" s="137">
        <v>21</v>
      </c>
      <c r="AO169" s="137">
        <f>L169*0.471748324719156</f>
        <v>0</v>
      </c>
      <c r="AP169" s="137">
        <f>L169*(1-0.471748324719156)</f>
        <v>0</v>
      </c>
      <c r="AQ169" s="139" t="s">
        <v>352</v>
      </c>
      <c r="AV169" s="137">
        <f>AW169+AX169</f>
        <v>0</v>
      </c>
      <c r="AW169" s="137">
        <f>K169*AO169</f>
        <v>0</v>
      </c>
      <c r="AX169" s="137">
        <f>K169*AP169</f>
        <v>0</v>
      </c>
      <c r="AY169" s="139" t="s">
        <v>1775</v>
      </c>
      <c r="AZ169" s="139" t="s">
        <v>1745</v>
      </c>
      <c r="BA169" s="138" t="s">
        <v>1336</v>
      </c>
      <c r="BC169" s="137">
        <f>AW169+AX169</f>
        <v>0</v>
      </c>
      <c r="BD169" s="137">
        <f>L169/(100-BE169)*100</f>
        <v>0</v>
      </c>
      <c r="BE169" s="137">
        <v>0</v>
      </c>
      <c r="BF169" s="137">
        <f>169</f>
        <v>169</v>
      </c>
      <c r="BH169" s="137">
        <f>K169*AO169</f>
        <v>0</v>
      </c>
      <c r="BI169" s="137">
        <f>K169*AP169</f>
        <v>0</v>
      </c>
      <c r="BJ169" s="137">
        <f>K169*L169</f>
        <v>0</v>
      </c>
      <c r="BK169" s="137" t="s">
        <v>442</v>
      </c>
      <c r="BL169" s="137">
        <v>711</v>
      </c>
    </row>
    <row r="170" spans="1:64" ht="14.65" customHeight="1">
      <c r="A170" s="130"/>
      <c r="D170" s="251" t="s">
        <v>1779</v>
      </c>
      <c r="E170" s="251"/>
      <c r="F170" s="251"/>
      <c r="G170" s="251"/>
      <c r="H170" s="251"/>
      <c r="I170" s="251"/>
      <c r="J170" s="251"/>
      <c r="K170" s="251"/>
      <c r="L170" s="251"/>
      <c r="M170" s="251"/>
      <c r="N170" s="251"/>
      <c r="O170" s="251"/>
      <c r="P170" s="130"/>
    </row>
    <row r="171" spans="1:64">
      <c r="A171" s="130"/>
      <c r="D171" s="157" t="s">
        <v>1778</v>
      </c>
      <c r="I171" s="156"/>
      <c r="K171" s="155">
        <v>2.97</v>
      </c>
      <c r="O171" s="154"/>
      <c r="P171" s="130"/>
    </row>
    <row r="172" spans="1:64">
      <c r="A172" s="142" t="s">
        <v>218</v>
      </c>
      <c r="B172" s="141" t="s">
        <v>1339</v>
      </c>
      <c r="C172" s="141" t="s">
        <v>1777</v>
      </c>
      <c r="D172" s="243" t="s">
        <v>1776</v>
      </c>
      <c r="E172" s="243"/>
      <c r="F172" s="243"/>
      <c r="G172" s="243"/>
      <c r="H172" s="243"/>
      <c r="I172" s="243"/>
      <c r="J172" s="141" t="s">
        <v>735</v>
      </c>
      <c r="K172" s="137">
        <v>1.5440000000000001E-2</v>
      </c>
      <c r="L172" s="203">
        <v>0</v>
      </c>
      <c r="M172" s="137">
        <f>K172*L172</f>
        <v>0</v>
      </c>
      <c r="N172" s="137">
        <v>0</v>
      </c>
      <c r="O172" s="140" t="s">
        <v>1340</v>
      </c>
      <c r="P172" s="130"/>
      <c r="Z172" s="137">
        <f>IF(AQ172="5",BJ172,0)</f>
        <v>0</v>
      </c>
      <c r="AB172" s="137">
        <f>IF(AQ172="1",BH172,0)</f>
        <v>0</v>
      </c>
      <c r="AC172" s="137">
        <f>IF(AQ172="1",BI172,0)</f>
        <v>0</v>
      </c>
      <c r="AD172" s="137">
        <f>IF(AQ172="7",BH172,0)</f>
        <v>0</v>
      </c>
      <c r="AE172" s="137">
        <f>IF(AQ172="7",BI172,0)</f>
        <v>0</v>
      </c>
      <c r="AF172" s="137">
        <f>IF(AQ172="2",BH172,0)</f>
        <v>0</v>
      </c>
      <c r="AG172" s="137">
        <f>IF(AQ172="2",BI172,0)</f>
        <v>0</v>
      </c>
      <c r="AH172" s="137">
        <f>IF(AQ172="0",BJ172,0)</f>
        <v>0</v>
      </c>
      <c r="AI172" s="138" t="s">
        <v>1339</v>
      </c>
      <c r="AJ172" s="137">
        <f>IF(AN172=0,M172,0)</f>
        <v>0</v>
      </c>
      <c r="AK172" s="137">
        <f>IF(AN172=15,M172,0)</f>
        <v>0</v>
      </c>
      <c r="AL172" s="137">
        <f>IF(AN172=21,M172,0)</f>
        <v>0</v>
      </c>
      <c r="AN172" s="137">
        <v>21</v>
      </c>
      <c r="AO172" s="137">
        <f>L172*0</f>
        <v>0</v>
      </c>
      <c r="AP172" s="137">
        <f>L172*(1-0)</f>
        <v>0</v>
      </c>
      <c r="AQ172" s="139" t="s">
        <v>357</v>
      </c>
      <c r="AV172" s="137">
        <f>AW172+AX172</f>
        <v>0</v>
      </c>
      <c r="AW172" s="137">
        <f>K172*AO172</f>
        <v>0</v>
      </c>
      <c r="AX172" s="137">
        <f>K172*AP172</f>
        <v>0</v>
      </c>
      <c r="AY172" s="139" t="s">
        <v>1775</v>
      </c>
      <c r="AZ172" s="139" t="s">
        <v>1745</v>
      </c>
      <c r="BA172" s="138" t="s">
        <v>1336</v>
      </c>
      <c r="BC172" s="137">
        <f>AW172+AX172</f>
        <v>0</v>
      </c>
      <c r="BD172" s="137">
        <f>L172/(100-BE172)*100</f>
        <v>0</v>
      </c>
      <c r="BE172" s="137">
        <v>0</v>
      </c>
      <c r="BF172" s="137">
        <f>172</f>
        <v>172</v>
      </c>
      <c r="BH172" s="137">
        <f>K172*AO172</f>
        <v>0</v>
      </c>
      <c r="BI172" s="137">
        <f>K172*AP172</f>
        <v>0</v>
      </c>
      <c r="BJ172" s="137">
        <f>K172*L172</f>
        <v>0</v>
      </c>
      <c r="BK172" s="137" t="s">
        <v>442</v>
      </c>
      <c r="BL172" s="137">
        <v>711</v>
      </c>
    </row>
    <row r="173" spans="1:64">
      <c r="A173" s="147"/>
      <c r="B173" s="146" t="s">
        <v>1339</v>
      </c>
      <c r="C173" s="146" t="s">
        <v>1205</v>
      </c>
      <c r="D173" s="252" t="s">
        <v>1204</v>
      </c>
      <c r="E173" s="252"/>
      <c r="F173" s="252"/>
      <c r="G173" s="252"/>
      <c r="H173" s="252"/>
      <c r="I173" s="252"/>
      <c r="J173" s="145" t="s">
        <v>1305</v>
      </c>
      <c r="K173" s="145" t="s">
        <v>1305</v>
      </c>
      <c r="L173" s="145" t="s">
        <v>1305</v>
      </c>
      <c r="M173" s="143">
        <f>SUM(M174:M197)</f>
        <v>0</v>
      </c>
      <c r="N173" s="138"/>
      <c r="O173" s="144"/>
      <c r="P173" s="130"/>
      <c r="AI173" s="138" t="s">
        <v>1339</v>
      </c>
      <c r="AS173" s="143">
        <f>SUM(AJ174:AJ197)</f>
        <v>0</v>
      </c>
      <c r="AT173" s="143">
        <f>SUM(AK174:AK197)</f>
        <v>0</v>
      </c>
      <c r="AU173" s="143">
        <f>SUM(AL174:AL197)</f>
        <v>0</v>
      </c>
    </row>
    <row r="174" spans="1:64">
      <c r="A174" s="142" t="s">
        <v>214</v>
      </c>
      <c r="B174" s="141" t="s">
        <v>1339</v>
      </c>
      <c r="C174" s="141" t="s">
        <v>1774</v>
      </c>
      <c r="D174" s="243" t="s">
        <v>1773</v>
      </c>
      <c r="E174" s="243"/>
      <c r="F174" s="243"/>
      <c r="G174" s="243"/>
      <c r="H174" s="243"/>
      <c r="I174" s="243"/>
      <c r="J174" s="141" t="s">
        <v>691</v>
      </c>
      <c r="K174" s="137">
        <v>20</v>
      </c>
      <c r="L174" s="203">
        <v>0</v>
      </c>
      <c r="M174" s="137">
        <f>K174*L174</f>
        <v>0</v>
      </c>
      <c r="N174" s="137">
        <v>3.3999999999999998E-3</v>
      </c>
      <c r="O174" s="140" t="s">
        <v>1340</v>
      </c>
      <c r="P174" s="130"/>
      <c r="Z174" s="137">
        <f>IF(AQ174="5",BJ174,0)</f>
        <v>0</v>
      </c>
      <c r="AB174" s="137">
        <f>IF(AQ174="1",BH174,0)</f>
        <v>0</v>
      </c>
      <c r="AC174" s="137">
        <f>IF(AQ174="1",BI174,0)</f>
        <v>0</v>
      </c>
      <c r="AD174" s="137">
        <f>IF(AQ174="7",BH174,0)</f>
        <v>0</v>
      </c>
      <c r="AE174" s="137">
        <f>IF(AQ174="7",BI174,0)</f>
        <v>0</v>
      </c>
      <c r="AF174" s="137">
        <f>IF(AQ174="2",BH174,0)</f>
        <v>0</v>
      </c>
      <c r="AG174" s="137">
        <f>IF(AQ174="2",BI174,0)</f>
        <v>0</v>
      </c>
      <c r="AH174" s="137">
        <f>IF(AQ174="0",BJ174,0)</f>
        <v>0</v>
      </c>
      <c r="AI174" s="138" t="s">
        <v>1339</v>
      </c>
      <c r="AJ174" s="137">
        <f>IF(AN174=0,M174,0)</f>
        <v>0</v>
      </c>
      <c r="AK174" s="137">
        <f>IF(AN174=15,M174,0)</f>
        <v>0</v>
      </c>
      <c r="AL174" s="137">
        <f>IF(AN174=21,M174,0)</f>
        <v>0</v>
      </c>
      <c r="AN174" s="137">
        <v>21</v>
      </c>
      <c r="AO174" s="137">
        <f>L174*0.849594202898551</f>
        <v>0</v>
      </c>
      <c r="AP174" s="137">
        <f>L174*(1-0.849594202898551)</f>
        <v>0</v>
      </c>
      <c r="AQ174" s="139" t="s">
        <v>352</v>
      </c>
      <c r="AV174" s="137">
        <f>AW174+AX174</f>
        <v>0</v>
      </c>
      <c r="AW174" s="137">
        <f>K174*AO174</f>
        <v>0</v>
      </c>
      <c r="AX174" s="137">
        <f>K174*AP174</f>
        <v>0</v>
      </c>
      <c r="AY174" s="139" t="s">
        <v>1746</v>
      </c>
      <c r="AZ174" s="139" t="s">
        <v>1745</v>
      </c>
      <c r="BA174" s="138" t="s">
        <v>1336</v>
      </c>
      <c r="BC174" s="137">
        <f>AW174+AX174</f>
        <v>0</v>
      </c>
      <c r="BD174" s="137">
        <f>L174/(100-BE174)*100</f>
        <v>0</v>
      </c>
      <c r="BE174" s="137">
        <v>0</v>
      </c>
      <c r="BF174" s="137">
        <f>174</f>
        <v>174</v>
      </c>
      <c r="BH174" s="137">
        <f>K174*AO174</f>
        <v>0</v>
      </c>
      <c r="BI174" s="137">
        <f>K174*AP174</f>
        <v>0</v>
      </c>
      <c r="BJ174" s="137">
        <f>K174*L174</f>
        <v>0</v>
      </c>
      <c r="BK174" s="137" t="s">
        <v>442</v>
      </c>
      <c r="BL174" s="137">
        <v>713</v>
      </c>
    </row>
    <row r="175" spans="1:64" ht="25.7" customHeight="1">
      <c r="A175" s="130"/>
      <c r="D175" s="251" t="s">
        <v>1772</v>
      </c>
      <c r="E175" s="251"/>
      <c r="F175" s="251"/>
      <c r="G175" s="251"/>
      <c r="H175" s="251"/>
      <c r="I175" s="251"/>
      <c r="J175" s="251"/>
      <c r="K175" s="251"/>
      <c r="L175" s="251"/>
      <c r="M175" s="251"/>
      <c r="N175" s="251"/>
      <c r="O175" s="251"/>
      <c r="P175" s="130"/>
    </row>
    <row r="176" spans="1:64">
      <c r="A176" s="130"/>
      <c r="D176" s="157" t="s">
        <v>1672</v>
      </c>
      <c r="I176" s="156"/>
      <c r="K176" s="155">
        <v>20</v>
      </c>
      <c r="O176" s="154"/>
      <c r="P176" s="130"/>
    </row>
    <row r="177" spans="1:64">
      <c r="A177" s="142" t="s">
        <v>210</v>
      </c>
      <c r="B177" s="141" t="s">
        <v>1339</v>
      </c>
      <c r="C177" s="141" t="s">
        <v>1771</v>
      </c>
      <c r="D177" s="243" t="s">
        <v>1770</v>
      </c>
      <c r="E177" s="243"/>
      <c r="F177" s="243"/>
      <c r="G177" s="243"/>
      <c r="H177" s="243"/>
      <c r="I177" s="243"/>
      <c r="J177" s="141" t="s">
        <v>691</v>
      </c>
      <c r="K177" s="137">
        <v>20</v>
      </c>
      <c r="L177" s="203">
        <v>0</v>
      </c>
      <c r="M177" s="137">
        <f>K177*L177</f>
        <v>0</v>
      </c>
      <c r="N177" s="137">
        <v>0</v>
      </c>
      <c r="O177" s="140" t="s">
        <v>1340</v>
      </c>
      <c r="P177" s="130"/>
      <c r="Z177" s="137">
        <f>IF(AQ177="5",BJ177,0)</f>
        <v>0</v>
      </c>
      <c r="AB177" s="137">
        <f>IF(AQ177="1",BH177,0)</f>
        <v>0</v>
      </c>
      <c r="AC177" s="137">
        <f>IF(AQ177="1",BI177,0)</f>
        <v>0</v>
      </c>
      <c r="AD177" s="137">
        <f>IF(AQ177="7",BH177,0)</f>
        <v>0</v>
      </c>
      <c r="AE177" s="137">
        <f>IF(AQ177="7",BI177,0)</f>
        <v>0</v>
      </c>
      <c r="AF177" s="137">
        <f>IF(AQ177="2",BH177,0)</f>
        <v>0</v>
      </c>
      <c r="AG177" s="137">
        <f>IF(AQ177="2",BI177,0)</f>
        <v>0</v>
      </c>
      <c r="AH177" s="137">
        <f>IF(AQ177="0",BJ177,0)</f>
        <v>0</v>
      </c>
      <c r="AI177" s="138" t="s">
        <v>1339</v>
      </c>
      <c r="AJ177" s="137">
        <f>IF(AN177=0,M177,0)</f>
        <v>0</v>
      </c>
      <c r="AK177" s="137">
        <f>IF(AN177=15,M177,0)</f>
        <v>0</v>
      </c>
      <c r="AL177" s="137">
        <f>IF(AN177=21,M177,0)</f>
        <v>0</v>
      </c>
      <c r="AN177" s="137">
        <v>21</v>
      </c>
      <c r="AO177" s="137">
        <f>L177*0</f>
        <v>0</v>
      </c>
      <c r="AP177" s="137">
        <f>L177*(1-0)</f>
        <v>0</v>
      </c>
      <c r="AQ177" s="139" t="s">
        <v>352</v>
      </c>
      <c r="AV177" s="137">
        <f>AW177+AX177</f>
        <v>0</v>
      </c>
      <c r="AW177" s="137">
        <f>K177*AO177</f>
        <v>0</v>
      </c>
      <c r="AX177" s="137">
        <f>K177*AP177</f>
        <v>0</v>
      </c>
      <c r="AY177" s="139" t="s">
        <v>1746</v>
      </c>
      <c r="AZ177" s="139" t="s">
        <v>1745</v>
      </c>
      <c r="BA177" s="138" t="s">
        <v>1336</v>
      </c>
      <c r="BC177" s="137">
        <f>AW177+AX177</f>
        <v>0</v>
      </c>
      <c r="BD177" s="137">
        <f>L177/(100-BE177)*100</f>
        <v>0</v>
      </c>
      <c r="BE177" s="137">
        <v>0</v>
      </c>
      <c r="BF177" s="137">
        <f>177</f>
        <v>177</v>
      </c>
      <c r="BH177" s="137">
        <f>K177*AO177</f>
        <v>0</v>
      </c>
      <c r="BI177" s="137">
        <f>K177*AP177</f>
        <v>0</v>
      </c>
      <c r="BJ177" s="137">
        <f>K177*L177</f>
        <v>0</v>
      </c>
      <c r="BK177" s="137" t="s">
        <v>442</v>
      </c>
      <c r="BL177" s="137">
        <v>713</v>
      </c>
    </row>
    <row r="178" spans="1:64" ht="14.65" customHeight="1">
      <c r="A178" s="130"/>
      <c r="D178" s="251" t="s">
        <v>1760</v>
      </c>
      <c r="E178" s="251"/>
      <c r="F178" s="251"/>
      <c r="G178" s="251"/>
      <c r="H178" s="251"/>
      <c r="I178" s="251"/>
      <c r="J178" s="251"/>
      <c r="K178" s="251"/>
      <c r="L178" s="251"/>
      <c r="M178" s="251"/>
      <c r="N178" s="251"/>
      <c r="O178" s="251"/>
      <c r="P178" s="130"/>
    </row>
    <row r="179" spans="1:64">
      <c r="A179" s="130"/>
      <c r="D179" s="157" t="s">
        <v>1672</v>
      </c>
      <c r="I179" s="156"/>
      <c r="K179" s="155">
        <v>20</v>
      </c>
      <c r="O179" s="154"/>
      <c r="P179" s="130"/>
    </row>
    <row r="180" spans="1:64">
      <c r="A180" s="142" t="s">
        <v>206</v>
      </c>
      <c r="B180" s="141" t="s">
        <v>1339</v>
      </c>
      <c r="C180" s="141" t="s">
        <v>1769</v>
      </c>
      <c r="D180" s="243" t="s">
        <v>1768</v>
      </c>
      <c r="E180" s="243"/>
      <c r="F180" s="243"/>
      <c r="G180" s="243"/>
      <c r="H180" s="243"/>
      <c r="I180" s="243"/>
      <c r="J180" s="141" t="s">
        <v>691</v>
      </c>
      <c r="K180" s="137">
        <v>20</v>
      </c>
      <c r="L180" s="203">
        <v>0</v>
      </c>
      <c r="M180" s="137">
        <f>K180*L180</f>
        <v>0</v>
      </c>
      <c r="N180" s="137">
        <v>2.0000000000000001E-4</v>
      </c>
      <c r="O180" s="140" t="s">
        <v>1340</v>
      </c>
      <c r="P180" s="130"/>
      <c r="Z180" s="137">
        <f>IF(AQ180="5",BJ180,0)</f>
        <v>0</v>
      </c>
      <c r="AB180" s="137">
        <f>IF(AQ180="1",BH180,0)</f>
        <v>0</v>
      </c>
      <c r="AC180" s="137">
        <f>IF(AQ180="1",BI180,0)</f>
        <v>0</v>
      </c>
      <c r="AD180" s="137">
        <f>IF(AQ180="7",BH180,0)</f>
        <v>0</v>
      </c>
      <c r="AE180" s="137">
        <f>IF(AQ180="7",BI180,0)</f>
        <v>0</v>
      </c>
      <c r="AF180" s="137">
        <f>IF(AQ180="2",BH180,0)</f>
        <v>0</v>
      </c>
      <c r="AG180" s="137">
        <f>IF(AQ180="2",BI180,0)</f>
        <v>0</v>
      </c>
      <c r="AH180" s="137">
        <f>IF(AQ180="0",BJ180,0)</f>
        <v>0</v>
      </c>
      <c r="AI180" s="138" t="s">
        <v>1339</v>
      </c>
      <c r="AJ180" s="137">
        <f>IF(AN180=0,M180,0)</f>
        <v>0</v>
      </c>
      <c r="AK180" s="137">
        <f>IF(AN180=15,M180,0)</f>
        <v>0</v>
      </c>
      <c r="AL180" s="137">
        <f>IF(AN180=21,M180,0)</f>
        <v>0</v>
      </c>
      <c r="AN180" s="137">
        <v>21</v>
      </c>
      <c r="AO180" s="137">
        <f>L180*0.591887184673296</f>
        <v>0</v>
      </c>
      <c r="AP180" s="137">
        <f>L180*(1-0.591887184673296)</f>
        <v>0</v>
      </c>
      <c r="AQ180" s="139" t="s">
        <v>352</v>
      </c>
      <c r="AV180" s="137">
        <f>AW180+AX180</f>
        <v>0</v>
      </c>
      <c r="AW180" s="137">
        <f>K180*AO180</f>
        <v>0</v>
      </c>
      <c r="AX180" s="137">
        <f>K180*AP180</f>
        <v>0</v>
      </c>
      <c r="AY180" s="139" t="s">
        <v>1746</v>
      </c>
      <c r="AZ180" s="139" t="s">
        <v>1745</v>
      </c>
      <c r="BA180" s="138" t="s">
        <v>1336</v>
      </c>
      <c r="BC180" s="137">
        <f>AW180+AX180</f>
        <v>0</v>
      </c>
      <c r="BD180" s="137">
        <f>L180/(100-BE180)*100</f>
        <v>0</v>
      </c>
      <c r="BE180" s="137">
        <v>0</v>
      </c>
      <c r="BF180" s="137">
        <f>180</f>
        <v>180</v>
      </c>
      <c r="BH180" s="137">
        <f>K180*AO180</f>
        <v>0</v>
      </c>
      <c r="BI180" s="137">
        <f>K180*AP180</f>
        <v>0</v>
      </c>
      <c r="BJ180" s="137">
        <f>K180*L180</f>
        <v>0</v>
      </c>
      <c r="BK180" s="137" t="s">
        <v>442</v>
      </c>
      <c r="BL180" s="137">
        <v>713</v>
      </c>
    </row>
    <row r="181" spans="1:64" ht="25.7" customHeight="1">
      <c r="A181" s="130"/>
      <c r="D181" s="251" t="s">
        <v>1767</v>
      </c>
      <c r="E181" s="251"/>
      <c r="F181" s="251"/>
      <c r="G181" s="251"/>
      <c r="H181" s="251"/>
      <c r="I181" s="251"/>
      <c r="J181" s="251"/>
      <c r="K181" s="251"/>
      <c r="L181" s="251"/>
      <c r="M181" s="251"/>
      <c r="N181" s="251"/>
      <c r="O181" s="251"/>
      <c r="P181" s="130"/>
    </row>
    <row r="182" spans="1:64">
      <c r="A182" s="130"/>
      <c r="D182" s="157" t="s">
        <v>1672</v>
      </c>
      <c r="I182" s="156"/>
      <c r="K182" s="155">
        <v>20</v>
      </c>
      <c r="O182" s="154"/>
      <c r="P182" s="130"/>
    </row>
    <row r="183" spans="1:64">
      <c r="A183" s="142" t="s">
        <v>203</v>
      </c>
      <c r="B183" s="141" t="s">
        <v>1339</v>
      </c>
      <c r="C183" s="141" t="s">
        <v>1766</v>
      </c>
      <c r="D183" s="243" t="s">
        <v>1765</v>
      </c>
      <c r="E183" s="243"/>
      <c r="F183" s="243"/>
      <c r="G183" s="243"/>
      <c r="H183" s="243"/>
      <c r="I183" s="243"/>
      <c r="J183" s="141" t="s">
        <v>691</v>
      </c>
      <c r="K183" s="137">
        <v>41.2</v>
      </c>
      <c r="L183" s="203">
        <v>0</v>
      </c>
      <c r="M183" s="137">
        <f>K183*L183</f>
        <v>0</v>
      </c>
      <c r="N183" s="137">
        <v>3.5999999999999999E-3</v>
      </c>
      <c r="O183" s="140" t="s">
        <v>1340</v>
      </c>
      <c r="P183" s="130"/>
      <c r="Z183" s="137">
        <f>IF(AQ183="5",BJ183,0)</f>
        <v>0</v>
      </c>
      <c r="AB183" s="137">
        <f>IF(AQ183="1",BH183,0)</f>
        <v>0</v>
      </c>
      <c r="AC183" s="137">
        <f>IF(AQ183="1",BI183,0)</f>
        <v>0</v>
      </c>
      <c r="AD183" s="137">
        <f>IF(AQ183="7",BH183,0)</f>
        <v>0</v>
      </c>
      <c r="AE183" s="137">
        <f>IF(AQ183="7",BI183,0)</f>
        <v>0</v>
      </c>
      <c r="AF183" s="137">
        <f>IF(AQ183="2",BH183,0)</f>
        <v>0</v>
      </c>
      <c r="AG183" s="137">
        <f>IF(AQ183="2",BI183,0)</f>
        <v>0</v>
      </c>
      <c r="AH183" s="137">
        <f>IF(AQ183="0",BJ183,0)</f>
        <v>0</v>
      </c>
      <c r="AI183" s="138" t="s">
        <v>1339</v>
      </c>
      <c r="AJ183" s="137">
        <f>IF(AN183=0,M183,0)</f>
        <v>0</v>
      </c>
      <c r="AK183" s="137">
        <f>IF(AN183=15,M183,0)</f>
        <v>0</v>
      </c>
      <c r="AL183" s="137">
        <f>IF(AN183=21,M183,0)</f>
        <v>0</v>
      </c>
      <c r="AN183" s="137">
        <v>21</v>
      </c>
      <c r="AO183" s="137">
        <f>L183*1</f>
        <v>0</v>
      </c>
      <c r="AP183" s="137">
        <f>L183*(1-1)</f>
        <v>0</v>
      </c>
      <c r="AQ183" s="139" t="s">
        <v>352</v>
      </c>
      <c r="AV183" s="137">
        <f>AW183+AX183</f>
        <v>0</v>
      </c>
      <c r="AW183" s="137">
        <f>K183*AO183</f>
        <v>0</v>
      </c>
      <c r="AX183" s="137">
        <f>K183*AP183</f>
        <v>0</v>
      </c>
      <c r="AY183" s="139" t="s">
        <v>1746</v>
      </c>
      <c r="AZ183" s="139" t="s">
        <v>1745</v>
      </c>
      <c r="BA183" s="138" t="s">
        <v>1336</v>
      </c>
      <c r="BC183" s="137">
        <f>AW183+AX183</f>
        <v>0</v>
      </c>
      <c r="BD183" s="137">
        <f>L183/(100-BE183)*100</f>
        <v>0</v>
      </c>
      <c r="BE183" s="137">
        <v>0</v>
      </c>
      <c r="BF183" s="137">
        <f>183</f>
        <v>183</v>
      </c>
      <c r="BH183" s="137">
        <f>K183*AO183</f>
        <v>0</v>
      </c>
      <c r="BI183" s="137">
        <f>K183*AP183</f>
        <v>0</v>
      </c>
      <c r="BJ183" s="137">
        <f>K183*L183</f>
        <v>0</v>
      </c>
      <c r="BK183" s="137" t="s">
        <v>750</v>
      </c>
      <c r="BL183" s="137">
        <v>713</v>
      </c>
    </row>
    <row r="184" spans="1:64">
      <c r="A184" s="130"/>
      <c r="D184" s="157" t="s">
        <v>1764</v>
      </c>
      <c r="I184" s="156"/>
      <c r="K184" s="155">
        <v>40</v>
      </c>
      <c r="O184" s="154"/>
      <c r="P184" s="130"/>
    </row>
    <row r="185" spans="1:64">
      <c r="A185" s="130"/>
      <c r="D185" s="157" t="s">
        <v>1763</v>
      </c>
      <c r="I185" s="156"/>
      <c r="K185" s="155">
        <v>1.2</v>
      </c>
      <c r="O185" s="154"/>
      <c r="P185" s="130"/>
    </row>
    <row r="186" spans="1:64">
      <c r="A186" s="142" t="s">
        <v>199</v>
      </c>
      <c r="B186" s="141" t="s">
        <v>1339</v>
      </c>
      <c r="C186" s="141" t="s">
        <v>1762</v>
      </c>
      <c r="D186" s="243" t="s">
        <v>1761</v>
      </c>
      <c r="E186" s="243"/>
      <c r="F186" s="243"/>
      <c r="G186" s="243"/>
      <c r="H186" s="243"/>
      <c r="I186" s="243"/>
      <c r="J186" s="141" t="s">
        <v>691</v>
      </c>
      <c r="K186" s="137">
        <v>34.094000000000001</v>
      </c>
      <c r="L186" s="203">
        <v>0</v>
      </c>
      <c r="M186" s="137">
        <f>K186*L186</f>
        <v>0</v>
      </c>
      <c r="N186" s="137">
        <v>8.3000000000000001E-4</v>
      </c>
      <c r="O186" s="140" t="s">
        <v>1340</v>
      </c>
      <c r="P186" s="130"/>
      <c r="Z186" s="137">
        <f>IF(AQ186="5",BJ186,0)</f>
        <v>0</v>
      </c>
      <c r="AB186" s="137">
        <f>IF(AQ186="1",BH186,0)</f>
        <v>0</v>
      </c>
      <c r="AC186" s="137">
        <f>IF(AQ186="1",BI186,0)</f>
        <v>0</v>
      </c>
      <c r="AD186" s="137">
        <f>IF(AQ186="7",BH186,0)</f>
        <v>0</v>
      </c>
      <c r="AE186" s="137">
        <f>IF(AQ186="7",BI186,0)</f>
        <v>0</v>
      </c>
      <c r="AF186" s="137">
        <f>IF(AQ186="2",BH186,0)</f>
        <v>0</v>
      </c>
      <c r="AG186" s="137">
        <f>IF(AQ186="2",BI186,0)</f>
        <v>0</v>
      </c>
      <c r="AH186" s="137">
        <f>IF(AQ186="0",BJ186,0)</f>
        <v>0</v>
      </c>
      <c r="AI186" s="138" t="s">
        <v>1339</v>
      </c>
      <c r="AJ186" s="137">
        <f>IF(AN186=0,M186,0)</f>
        <v>0</v>
      </c>
      <c r="AK186" s="137">
        <f>IF(AN186=15,M186,0)</f>
        <v>0</v>
      </c>
      <c r="AL186" s="137">
        <f>IF(AN186=21,M186,0)</f>
        <v>0</v>
      </c>
      <c r="AN186" s="137">
        <v>21</v>
      </c>
      <c r="AO186" s="137">
        <f>L186*0.113948235706923</f>
        <v>0</v>
      </c>
      <c r="AP186" s="137">
        <f>L186*(1-0.113948235706923)</f>
        <v>0</v>
      </c>
      <c r="AQ186" s="139" t="s">
        <v>352</v>
      </c>
      <c r="AV186" s="137">
        <f>AW186+AX186</f>
        <v>0</v>
      </c>
      <c r="AW186" s="137">
        <f>K186*AO186</f>
        <v>0</v>
      </c>
      <c r="AX186" s="137">
        <f>K186*AP186</f>
        <v>0</v>
      </c>
      <c r="AY186" s="139" t="s">
        <v>1746</v>
      </c>
      <c r="AZ186" s="139" t="s">
        <v>1745</v>
      </c>
      <c r="BA186" s="138" t="s">
        <v>1336</v>
      </c>
      <c r="BC186" s="137">
        <f>AW186+AX186</f>
        <v>0</v>
      </c>
      <c r="BD186" s="137">
        <f>L186/(100-BE186)*100</f>
        <v>0</v>
      </c>
      <c r="BE186" s="137">
        <v>0</v>
      </c>
      <c r="BF186" s="137">
        <f>186</f>
        <v>186</v>
      </c>
      <c r="BH186" s="137">
        <f>K186*AO186</f>
        <v>0</v>
      </c>
      <c r="BI186" s="137">
        <f>K186*AP186</f>
        <v>0</v>
      </c>
      <c r="BJ186" s="137">
        <f>K186*L186</f>
        <v>0</v>
      </c>
      <c r="BK186" s="137" t="s">
        <v>442</v>
      </c>
      <c r="BL186" s="137">
        <v>713</v>
      </c>
    </row>
    <row r="187" spans="1:64" ht="14.65" customHeight="1">
      <c r="A187" s="130"/>
      <c r="D187" s="251" t="s">
        <v>1760</v>
      </c>
      <c r="E187" s="251"/>
      <c r="F187" s="251"/>
      <c r="G187" s="251"/>
      <c r="H187" s="251"/>
      <c r="I187" s="251"/>
      <c r="J187" s="251"/>
      <c r="K187" s="251"/>
      <c r="L187" s="251"/>
      <c r="M187" s="251"/>
      <c r="N187" s="251"/>
      <c r="O187" s="251"/>
      <c r="P187" s="130"/>
    </row>
    <row r="188" spans="1:64">
      <c r="A188" s="130"/>
      <c r="D188" s="157" t="s">
        <v>1759</v>
      </c>
      <c r="I188" s="156"/>
      <c r="K188" s="155">
        <v>34.094000000000001</v>
      </c>
      <c r="O188" s="154"/>
      <c r="P188" s="130"/>
    </row>
    <row r="189" spans="1:64">
      <c r="A189" s="142" t="s">
        <v>195</v>
      </c>
      <c r="B189" s="141" t="s">
        <v>1339</v>
      </c>
      <c r="C189" s="141" t="s">
        <v>1758</v>
      </c>
      <c r="D189" s="243" t="s">
        <v>1757</v>
      </c>
      <c r="E189" s="243"/>
      <c r="F189" s="243"/>
      <c r="G189" s="243"/>
      <c r="H189" s="243"/>
      <c r="I189" s="243"/>
      <c r="J189" s="141" t="s">
        <v>691</v>
      </c>
      <c r="K189" s="137">
        <v>34.1</v>
      </c>
      <c r="L189" s="203">
        <v>0</v>
      </c>
      <c r="M189" s="137">
        <f>K189*L189</f>
        <v>0</v>
      </c>
      <c r="N189" s="137">
        <v>3.2000000000000002E-3</v>
      </c>
      <c r="O189" s="140" t="s">
        <v>1340</v>
      </c>
      <c r="P189" s="130"/>
      <c r="Z189" s="137">
        <f>IF(AQ189="5",BJ189,0)</f>
        <v>0</v>
      </c>
      <c r="AB189" s="137">
        <f>IF(AQ189="1",BH189,0)</f>
        <v>0</v>
      </c>
      <c r="AC189" s="137">
        <f>IF(AQ189="1",BI189,0)</f>
        <v>0</v>
      </c>
      <c r="AD189" s="137">
        <f>IF(AQ189="7",BH189,0)</f>
        <v>0</v>
      </c>
      <c r="AE189" s="137">
        <f>IF(AQ189="7",BI189,0)</f>
        <v>0</v>
      </c>
      <c r="AF189" s="137">
        <f>IF(AQ189="2",BH189,0)</f>
        <v>0</v>
      </c>
      <c r="AG189" s="137">
        <f>IF(AQ189="2",BI189,0)</f>
        <v>0</v>
      </c>
      <c r="AH189" s="137">
        <f>IF(AQ189="0",BJ189,0)</f>
        <v>0</v>
      </c>
      <c r="AI189" s="138" t="s">
        <v>1339</v>
      </c>
      <c r="AJ189" s="137">
        <f>IF(AN189=0,M189,0)</f>
        <v>0</v>
      </c>
      <c r="AK189" s="137">
        <f>IF(AN189=15,M189,0)</f>
        <v>0</v>
      </c>
      <c r="AL189" s="137">
        <f>IF(AN189=21,M189,0)</f>
        <v>0</v>
      </c>
      <c r="AN189" s="137">
        <v>21</v>
      </c>
      <c r="AO189" s="137">
        <f>L189*1</f>
        <v>0</v>
      </c>
      <c r="AP189" s="137">
        <f>L189*(1-1)</f>
        <v>0</v>
      </c>
      <c r="AQ189" s="139" t="s">
        <v>352</v>
      </c>
      <c r="AV189" s="137">
        <f>AW189+AX189</f>
        <v>0</v>
      </c>
      <c r="AW189" s="137">
        <f>K189*AO189</f>
        <v>0</v>
      </c>
      <c r="AX189" s="137">
        <f>K189*AP189</f>
        <v>0</v>
      </c>
      <c r="AY189" s="139" t="s">
        <v>1746</v>
      </c>
      <c r="AZ189" s="139" t="s">
        <v>1745</v>
      </c>
      <c r="BA189" s="138" t="s">
        <v>1336</v>
      </c>
      <c r="BC189" s="137">
        <f>AW189+AX189</f>
        <v>0</v>
      </c>
      <c r="BD189" s="137">
        <f>L189/(100-BE189)*100</f>
        <v>0</v>
      </c>
      <c r="BE189" s="137">
        <v>0</v>
      </c>
      <c r="BF189" s="137">
        <f>189</f>
        <v>189</v>
      </c>
      <c r="BH189" s="137">
        <f>K189*AO189</f>
        <v>0</v>
      </c>
      <c r="BI189" s="137">
        <f>K189*AP189</f>
        <v>0</v>
      </c>
      <c r="BJ189" s="137">
        <f>K189*L189</f>
        <v>0</v>
      </c>
      <c r="BK189" s="137" t="s">
        <v>750</v>
      </c>
      <c r="BL189" s="137">
        <v>713</v>
      </c>
    </row>
    <row r="190" spans="1:64">
      <c r="A190" s="130"/>
      <c r="D190" s="157" t="s">
        <v>1754</v>
      </c>
      <c r="I190" s="156"/>
      <c r="K190" s="155">
        <v>34.1</v>
      </c>
      <c r="O190" s="154"/>
      <c r="P190" s="130"/>
    </row>
    <row r="191" spans="1:64">
      <c r="A191" s="142" t="s">
        <v>191</v>
      </c>
      <c r="B191" s="141" t="s">
        <v>1339</v>
      </c>
      <c r="C191" s="141" t="s">
        <v>1756</v>
      </c>
      <c r="D191" s="243" t="s">
        <v>1755</v>
      </c>
      <c r="E191" s="243"/>
      <c r="F191" s="243"/>
      <c r="G191" s="243"/>
      <c r="H191" s="243"/>
      <c r="I191" s="243"/>
      <c r="J191" s="141" t="s">
        <v>691</v>
      </c>
      <c r="K191" s="137">
        <v>35.805</v>
      </c>
      <c r="L191" s="203">
        <v>0</v>
      </c>
      <c r="M191" s="137">
        <f>K191*L191</f>
        <v>0</v>
      </c>
      <c r="N191" s="137">
        <v>1.6000000000000001E-3</v>
      </c>
      <c r="O191" s="140" t="s">
        <v>1340</v>
      </c>
      <c r="P191" s="130"/>
      <c r="Z191" s="137">
        <f>IF(AQ191="5",BJ191,0)</f>
        <v>0</v>
      </c>
      <c r="AB191" s="137">
        <f>IF(AQ191="1",BH191,0)</f>
        <v>0</v>
      </c>
      <c r="AC191" s="137">
        <f>IF(AQ191="1",BI191,0)</f>
        <v>0</v>
      </c>
      <c r="AD191" s="137">
        <f>IF(AQ191="7",BH191,0)</f>
        <v>0</v>
      </c>
      <c r="AE191" s="137">
        <f>IF(AQ191="7",BI191,0)</f>
        <v>0</v>
      </c>
      <c r="AF191" s="137">
        <f>IF(AQ191="2",BH191,0)</f>
        <v>0</v>
      </c>
      <c r="AG191" s="137">
        <f>IF(AQ191="2",BI191,0)</f>
        <v>0</v>
      </c>
      <c r="AH191" s="137">
        <f>IF(AQ191="0",BJ191,0)</f>
        <v>0</v>
      </c>
      <c r="AI191" s="138" t="s">
        <v>1339</v>
      </c>
      <c r="AJ191" s="137">
        <f>IF(AN191=0,M191,0)</f>
        <v>0</v>
      </c>
      <c r="AK191" s="137">
        <f>IF(AN191=15,M191,0)</f>
        <v>0</v>
      </c>
      <c r="AL191" s="137">
        <f>IF(AN191=21,M191,0)</f>
        <v>0</v>
      </c>
      <c r="AN191" s="137">
        <v>21</v>
      </c>
      <c r="AO191" s="137">
        <f>L191*1</f>
        <v>0</v>
      </c>
      <c r="AP191" s="137">
        <f>L191*(1-1)</f>
        <v>0</v>
      </c>
      <c r="AQ191" s="139" t="s">
        <v>352</v>
      </c>
      <c r="AV191" s="137">
        <f>AW191+AX191</f>
        <v>0</v>
      </c>
      <c r="AW191" s="137">
        <f>K191*AO191</f>
        <v>0</v>
      </c>
      <c r="AX191" s="137">
        <f>K191*AP191</f>
        <v>0</v>
      </c>
      <c r="AY191" s="139" t="s">
        <v>1746</v>
      </c>
      <c r="AZ191" s="139" t="s">
        <v>1745</v>
      </c>
      <c r="BA191" s="138" t="s">
        <v>1336</v>
      </c>
      <c r="BC191" s="137">
        <f>AW191+AX191</f>
        <v>0</v>
      </c>
      <c r="BD191" s="137">
        <f>L191/(100-BE191)*100</f>
        <v>0</v>
      </c>
      <c r="BE191" s="137">
        <v>0</v>
      </c>
      <c r="BF191" s="137">
        <f>191</f>
        <v>191</v>
      </c>
      <c r="BH191" s="137">
        <f>K191*AO191</f>
        <v>0</v>
      </c>
      <c r="BI191" s="137">
        <f>K191*AP191</f>
        <v>0</v>
      </c>
      <c r="BJ191" s="137">
        <f>K191*L191</f>
        <v>0</v>
      </c>
      <c r="BK191" s="137" t="s">
        <v>750</v>
      </c>
      <c r="BL191" s="137">
        <v>713</v>
      </c>
    </row>
    <row r="192" spans="1:64">
      <c r="A192" s="130"/>
      <c r="D192" s="157" t="s">
        <v>1754</v>
      </c>
      <c r="I192" s="156"/>
      <c r="K192" s="155">
        <v>34.1</v>
      </c>
      <c r="O192" s="154"/>
      <c r="P192" s="130"/>
    </row>
    <row r="193" spans="1:64">
      <c r="A193" s="130"/>
      <c r="D193" s="157" t="s">
        <v>1753</v>
      </c>
      <c r="I193" s="156"/>
      <c r="K193" s="155">
        <v>1.7050000000000001</v>
      </c>
      <c r="O193" s="154"/>
      <c r="P193" s="130"/>
    </row>
    <row r="194" spans="1:64">
      <c r="A194" s="142" t="s">
        <v>187</v>
      </c>
      <c r="B194" s="141" t="s">
        <v>1339</v>
      </c>
      <c r="C194" s="141" t="s">
        <v>1752</v>
      </c>
      <c r="D194" s="243" t="s">
        <v>1751</v>
      </c>
      <c r="E194" s="243"/>
      <c r="F194" s="243"/>
      <c r="G194" s="243"/>
      <c r="H194" s="243"/>
      <c r="I194" s="243"/>
      <c r="J194" s="141" t="s">
        <v>691</v>
      </c>
      <c r="K194" s="137">
        <v>35.799999999999997</v>
      </c>
      <c r="L194" s="203">
        <v>0</v>
      </c>
      <c r="M194" s="137">
        <f>K194*L194</f>
        <v>0</v>
      </c>
      <c r="N194" s="137">
        <v>1.6000000000000001E-4</v>
      </c>
      <c r="O194" s="140" t="s">
        <v>1340</v>
      </c>
      <c r="P194" s="130"/>
      <c r="Z194" s="137">
        <f>IF(AQ194="5",BJ194,0)</f>
        <v>0</v>
      </c>
      <c r="AB194" s="137">
        <f>IF(AQ194="1",BH194,0)</f>
        <v>0</v>
      </c>
      <c r="AC194" s="137">
        <f>IF(AQ194="1",BI194,0)</f>
        <v>0</v>
      </c>
      <c r="AD194" s="137">
        <f>IF(AQ194="7",BH194,0)</f>
        <v>0</v>
      </c>
      <c r="AE194" s="137">
        <f>IF(AQ194="7",BI194,0)</f>
        <v>0</v>
      </c>
      <c r="AF194" s="137">
        <f>IF(AQ194="2",BH194,0)</f>
        <v>0</v>
      </c>
      <c r="AG194" s="137">
        <f>IF(AQ194="2",BI194,0)</f>
        <v>0</v>
      </c>
      <c r="AH194" s="137">
        <f>IF(AQ194="0",BJ194,0)</f>
        <v>0</v>
      </c>
      <c r="AI194" s="138" t="s">
        <v>1339</v>
      </c>
      <c r="AJ194" s="137">
        <f>IF(AN194=0,M194,0)</f>
        <v>0</v>
      </c>
      <c r="AK194" s="137">
        <f>IF(AN194=15,M194,0)</f>
        <v>0</v>
      </c>
      <c r="AL194" s="137">
        <f>IF(AN194=21,M194,0)</f>
        <v>0</v>
      </c>
      <c r="AN194" s="137">
        <v>21</v>
      </c>
      <c r="AO194" s="137">
        <f>L194*0.423446493025071</f>
        <v>0</v>
      </c>
      <c r="AP194" s="137">
        <f>L194*(1-0.423446493025071)</f>
        <v>0</v>
      </c>
      <c r="AQ194" s="139" t="s">
        <v>352</v>
      </c>
      <c r="AV194" s="137">
        <f>AW194+AX194</f>
        <v>0</v>
      </c>
      <c r="AW194" s="137">
        <f>K194*AO194</f>
        <v>0</v>
      </c>
      <c r="AX194" s="137">
        <f>K194*AP194</f>
        <v>0</v>
      </c>
      <c r="AY194" s="139" t="s">
        <v>1746</v>
      </c>
      <c r="AZ194" s="139" t="s">
        <v>1745</v>
      </c>
      <c r="BA194" s="138" t="s">
        <v>1336</v>
      </c>
      <c r="BC194" s="137">
        <f>AW194+AX194</f>
        <v>0</v>
      </c>
      <c r="BD194" s="137">
        <f>L194/(100-BE194)*100</f>
        <v>0</v>
      </c>
      <c r="BE194" s="137">
        <v>0</v>
      </c>
      <c r="BF194" s="137">
        <f>194</f>
        <v>194</v>
      </c>
      <c r="BH194" s="137">
        <f>K194*AO194</f>
        <v>0</v>
      </c>
      <c r="BI194" s="137">
        <f>K194*AP194</f>
        <v>0</v>
      </c>
      <c r="BJ194" s="137">
        <f>K194*L194</f>
        <v>0</v>
      </c>
      <c r="BK194" s="137" t="s">
        <v>442</v>
      </c>
      <c r="BL194" s="137">
        <v>713</v>
      </c>
    </row>
    <row r="195" spans="1:64" ht="14.65" customHeight="1">
      <c r="A195" s="130"/>
      <c r="D195" s="251" t="s">
        <v>1750</v>
      </c>
      <c r="E195" s="251"/>
      <c r="F195" s="251"/>
      <c r="G195" s="251"/>
      <c r="H195" s="251"/>
      <c r="I195" s="251"/>
      <c r="J195" s="251"/>
      <c r="K195" s="251"/>
      <c r="L195" s="251"/>
      <c r="M195" s="251"/>
      <c r="N195" s="251"/>
      <c r="O195" s="251"/>
      <c r="P195" s="130"/>
    </row>
    <row r="196" spans="1:64">
      <c r="A196" s="130"/>
      <c r="D196" s="157" t="s">
        <v>1749</v>
      </c>
      <c r="I196" s="156"/>
      <c r="K196" s="155">
        <v>35.799999999999997</v>
      </c>
      <c r="O196" s="154"/>
      <c r="P196" s="130"/>
    </row>
    <row r="197" spans="1:64">
      <c r="A197" s="142" t="s">
        <v>183</v>
      </c>
      <c r="B197" s="141" t="s">
        <v>1339</v>
      </c>
      <c r="C197" s="141" t="s">
        <v>1748</v>
      </c>
      <c r="D197" s="243" t="s">
        <v>1747</v>
      </c>
      <c r="E197" s="243"/>
      <c r="F197" s="243"/>
      <c r="G197" s="243"/>
      <c r="H197" s="243"/>
      <c r="I197" s="243"/>
      <c r="J197" s="141" t="s">
        <v>735</v>
      </c>
      <c r="K197" s="137">
        <v>0.41503000000000001</v>
      </c>
      <c r="L197" s="203">
        <v>0</v>
      </c>
      <c r="M197" s="137">
        <f>K197*L197</f>
        <v>0</v>
      </c>
      <c r="N197" s="137">
        <v>0</v>
      </c>
      <c r="O197" s="140" t="s">
        <v>1340</v>
      </c>
      <c r="P197" s="130"/>
      <c r="Z197" s="137">
        <f>IF(AQ197="5",BJ197,0)</f>
        <v>0</v>
      </c>
      <c r="AB197" s="137">
        <f>IF(AQ197="1",BH197,0)</f>
        <v>0</v>
      </c>
      <c r="AC197" s="137">
        <f>IF(AQ197="1",BI197,0)</f>
        <v>0</v>
      </c>
      <c r="AD197" s="137">
        <f>IF(AQ197="7",BH197,0)</f>
        <v>0</v>
      </c>
      <c r="AE197" s="137">
        <f>IF(AQ197="7",BI197,0)</f>
        <v>0</v>
      </c>
      <c r="AF197" s="137">
        <f>IF(AQ197="2",BH197,0)</f>
        <v>0</v>
      </c>
      <c r="AG197" s="137">
        <f>IF(AQ197="2",BI197,0)</f>
        <v>0</v>
      </c>
      <c r="AH197" s="137">
        <f>IF(AQ197="0",BJ197,0)</f>
        <v>0</v>
      </c>
      <c r="AI197" s="138" t="s">
        <v>1339</v>
      </c>
      <c r="AJ197" s="137">
        <f>IF(AN197=0,M197,0)</f>
        <v>0</v>
      </c>
      <c r="AK197" s="137">
        <f>IF(AN197=15,M197,0)</f>
        <v>0</v>
      </c>
      <c r="AL197" s="137">
        <f>IF(AN197=21,M197,0)</f>
        <v>0</v>
      </c>
      <c r="AN197" s="137">
        <v>21</v>
      </c>
      <c r="AO197" s="137">
        <f>L197*0</f>
        <v>0</v>
      </c>
      <c r="AP197" s="137">
        <f>L197*(1-0)</f>
        <v>0</v>
      </c>
      <c r="AQ197" s="139" t="s">
        <v>357</v>
      </c>
      <c r="AV197" s="137">
        <f>AW197+AX197</f>
        <v>0</v>
      </c>
      <c r="AW197" s="137">
        <f>K197*AO197</f>
        <v>0</v>
      </c>
      <c r="AX197" s="137">
        <f>K197*AP197</f>
        <v>0</v>
      </c>
      <c r="AY197" s="139" t="s">
        <v>1746</v>
      </c>
      <c r="AZ197" s="139" t="s">
        <v>1745</v>
      </c>
      <c r="BA197" s="138" t="s">
        <v>1336</v>
      </c>
      <c r="BC197" s="137">
        <f>AW197+AX197</f>
        <v>0</v>
      </c>
      <c r="BD197" s="137">
        <f>L197/(100-BE197)*100</f>
        <v>0</v>
      </c>
      <c r="BE197" s="137">
        <v>0</v>
      </c>
      <c r="BF197" s="137">
        <f>197</f>
        <v>197</v>
      </c>
      <c r="BH197" s="137">
        <f>K197*AO197</f>
        <v>0</v>
      </c>
      <c r="BI197" s="137">
        <f>K197*AP197</f>
        <v>0</v>
      </c>
      <c r="BJ197" s="137">
        <f>K197*L197</f>
        <v>0</v>
      </c>
      <c r="BK197" s="137" t="s">
        <v>442</v>
      </c>
      <c r="BL197" s="137">
        <v>713</v>
      </c>
    </row>
    <row r="198" spans="1:64">
      <c r="A198" s="147"/>
      <c r="B198" s="146" t="s">
        <v>1339</v>
      </c>
      <c r="C198" s="146" t="s">
        <v>1295</v>
      </c>
      <c r="D198" s="252" t="s">
        <v>1744</v>
      </c>
      <c r="E198" s="252"/>
      <c r="F198" s="252"/>
      <c r="G198" s="252"/>
      <c r="H198" s="252"/>
      <c r="I198" s="252"/>
      <c r="J198" s="145" t="s">
        <v>1305</v>
      </c>
      <c r="K198" s="145" t="s">
        <v>1305</v>
      </c>
      <c r="L198" s="145" t="s">
        <v>1305</v>
      </c>
      <c r="M198" s="143">
        <f>SUM(M199:M218)</f>
        <v>0</v>
      </c>
      <c r="N198" s="138"/>
      <c r="O198" s="144"/>
      <c r="P198" s="130"/>
      <c r="AI198" s="138" t="s">
        <v>1339</v>
      </c>
      <c r="AS198" s="143">
        <f>SUM(AJ199:AJ218)</f>
        <v>0</v>
      </c>
      <c r="AT198" s="143">
        <f>SUM(AK199:AK218)</f>
        <v>0</v>
      </c>
      <c r="AU198" s="143">
        <f>SUM(AL199:AL218)</f>
        <v>0</v>
      </c>
    </row>
    <row r="199" spans="1:64">
      <c r="A199" s="142" t="s">
        <v>179</v>
      </c>
      <c r="B199" s="141" t="s">
        <v>1339</v>
      </c>
      <c r="C199" s="141" t="s">
        <v>1743</v>
      </c>
      <c r="D199" s="243" t="s">
        <v>1742</v>
      </c>
      <c r="E199" s="243"/>
      <c r="F199" s="243"/>
      <c r="G199" s="243"/>
      <c r="H199" s="243"/>
      <c r="I199" s="243"/>
      <c r="J199" s="141" t="s">
        <v>21</v>
      </c>
      <c r="K199" s="137">
        <v>5.5</v>
      </c>
      <c r="L199" s="203">
        <v>0</v>
      </c>
      <c r="M199" s="137">
        <f>K199*L199</f>
        <v>0</v>
      </c>
      <c r="N199" s="137">
        <v>2.0999999999999999E-3</v>
      </c>
      <c r="O199" s="140" t="s">
        <v>1340</v>
      </c>
      <c r="P199" s="130"/>
      <c r="Z199" s="137">
        <f>IF(AQ199="5",BJ199,0)</f>
        <v>0</v>
      </c>
      <c r="AB199" s="137">
        <f>IF(AQ199="1",BH199,0)</f>
        <v>0</v>
      </c>
      <c r="AC199" s="137">
        <f>IF(AQ199="1",BI199,0)</f>
        <v>0</v>
      </c>
      <c r="AD199" s="137">
        <f>IF(AQ199="7",BH199,0)</f>
        <v>0</v>
      </c>
      <c r="AE199" s="137">
        <f>IF(AQ199="7",BI199,0)</f>
        <v>0</v>
      </c>
      <c r="AF199" s="137">
        <f>IF(AQ199="2",BH199,0)</f>
        <v>0</v>
      </c>
      <c r="AG199" s="137">
        <f>IF(AQ199="2",BI199,0)</f>
        <v>0</v>
      </c>
      <c r="AH199" s="137">
        <f>IF(AQ199="0",BJ199,0)</f>
        <v>0</v>
      </c>
      <c r="AI199" s="138" t="s">
        <v>1339</v>
      </c>
      <c r="AJ199" s="137">
        <f>IF(AN199=0,M199,0)</f>
        <v>0</v>
      </c>
      <c r="AK199" s="137">
        <f>IF(AN199=15,M199,0)</f>
        <v>0</v>
      </c>
      <c r="AL199" s="137">
        <f>IF(AN199=21,M199,0)</f>
        <v>0</v>
      </c>
      <c r="AN199" s="137">
        <v>21</v>
      </c>
      <c r="AO199" s="137">
        <f>L199*0.479774436090226</f>
        <v>0</v>
      </c>
      <c r="AP199" s="137">
        <f>L199*(1-0.479774436090226)</f>
        <v>0</v>
      </c>
      <c r="AQ199" s="139" t="s">
        <v>352</v>
      </c>
      <c r="AV199" s="137">
        <f>AW199+AX199</f>
        <v>0</v>
      </c>
      <c r="AW199" s="137">
        <f>K199*AO199</f>
        <v>0</v>
      </c>
      <c r="AX199" s="137">
        <f>K199*AP199</f>
        <v>0</v>
      </c>
      <c r="AY199" s="139" t="s">
        <v>1720</v>
      </c>
      <c r="AZ199" s="139" t="s">
        <v>1712</v>
      </c>
      <c r="BA199" s="138" t="s">
        <v>1336</v>
      </c>
      <c r="BC199" s="137">
        <f>AW199+AX199</f>
        <v>0</v>
      </c>
      <c r="BD199" s="137">
        <f>L199/(100-BE199)*100</f>
        <v>0</v>
      </c>
      <c r="BE199" s="137">
        <v>0</v>
      </c>
      <c r="BF199" s="137">
        <f>199</f>
        <v>199</v>
      </c>
      <c r="BH199" s="137">
        <f>K199*AO199</f>
        <v>0</v>
      </c>
      <c r="BI199" s="137">
        <f>K199*AP199</f>
        <v>0</v>
      </c>
      <c r="BJ199" s="137">
        <f>K199*L199</f>
        <v>0</v>
      </c>
      <c r="BK199" s="137" t="s">
        <v>442</v>
      </c>
      <c r="BL199" s="137">
        <v>721</v>
      </c>
    </row>
    <row r="200" spans="1:64">
      <c r="A200" s="130"/>
      <c r="D200" s="157" t="s">
        <v>1741</v>
      </c>
      <c r="I200" s="156"/>
      <c r="K200" s="155">
        <v>5.5</v>
      </c>
      <c r="O200" s="154"/>
      <c r="P200" s="130"/>
    </row>
    <row r="201" spans="1:64">
      <c r="A201" s="142" t="s">
        <v>176</v>
      </c>
      <c r="B201" s="141" t="s">
        <v>1339</v>
      </c>
      <c r="C201" s="141" t="s">
        <v>1740</v>
      </c>
      <c r="D201" s="243" t="s">
        <v>1739</v>
      </c>
      <c r="E201" s="243"/>
      <c r="F201" s="243"/>
      <c r="G201" s="243"/>
      <c r="H201" s="243"/>
      <c r="I201" s="243"/>
      <c r="J201" s="141" t="s">
        <v>21</v>
      </c>
      <c r="K201" s="137">
        <v>6</v>
      </c>
      <c r="L201" s="203">
        <v>0</v>
      </c>
      <c r="M201" s="137">
        <f>K201*L201</f>
        <v>0</v>
      </c>
      <c r="N201" s="137">
        <v>6.9999999999999999E-4</v>
      </c>
      <c r="O201" s="140" t="s">
        <v>1340</v>
      </c>
      <c r="P201" s="130"/>
      <c r="Z201" s="137">
        <f>IF(AQ201="5",BJ201,0)</f>
        <v>0</v>
      </c>
      <c r="AB201" s="137">
        <f>IF(AQ201="1",BH201,0)</f>
        <v>0</v>
      </c>
      <c r="AC201" s="137">
        <f>IF(AQ201="1",BI201,0)</f>
        <v>0</v>
      </c>
      <c r="AD201" s="137">
        <f>IF(AQ201="7",BH201,0)</f>
        <v>0</v>
      </c>
      <c r="AE201" s="137">
        <f>IF(AQ201="7",BI201,0)</f>
        <v>0</v>
      </c>
      <c r="AF201" s="137">
        <f>IF(AQ201="2",BH201,0)</f>
        <v>0</v>
      </c>
      <c r="AG201" s="137">
        <f>IF(AQ201="2",BI201,0)</f>
        <v>0</v>
      </c>
      <c r="AH201" s="137">
        <f>IF(AQ201="0",BJ201,0)</f>
        <v>0</v>
      </c>
      <c r="AI201" s="138" t="s">
        <v>1339</v>
      </c>
      <c r="AJ201" s="137">
        <f>IF(AN201=0,M201,0)</f>
        <v>0</v>
      </c>
      <c r="AK201" s="137">
        <f>IF(AN201=15,M201,0)</f>
        <v>0</v>
      </c>
      <c r="AL201" s="137">
        <f>IF(AN201=21,M201,0)</f>
        <v>0</v>
      </c>
      <c r="AN201" s="137">
        <v>21</v>
      </c>
      <c r="AO201" s="137">
        <f>L201*0.525605178971763</f>
        <v>0</v>
      </c>
      <c r="AP201" s="137">
        <f>L201*(1-0.525605178971763)</f>
        <v>0</v>
      </c>
      <c r="AQ201" s="139" t="s">
        <v>352</v>
      </c>
      <c r="AV201" s="137">
        <f>AW201+AX201</f>
        <v>0</v>
      </c>
      <c r="AW201" s="137">
        <f>K201*AO201</f>
        <v>0</v>
      </c>
      <c r="AX201" s="137">
        <f>K201*AP201</f>
        <v>0</v>
      </c>
      <c r="AY201" s="139" t="s">
        <v>1720</v>
      </c>
      <c r="AZ201" s="139" t="s">
        <v>1712</v>
      </c>
      <c r="BA201" s="138" t="s">
        <v>1336</v>
      </c>
      <c r="BC201" s="137">
        <f>AW201+AX201</f>
        <v>0</v>
      </c>
      <c r="BD201" s="137">
        <f>L201/(100-BE201)*100</f>
        <v>0</v>
      </c>
      <c r="BE201" s="137">
        <v>0</v>
      </c>
      <c r="BF201" s="137">
        <f>201</f>
        <v>201</v>
      </c>
      <c r="BH201" s="137">
        <f>K201*AO201</f>
        <v>0</v>
      </c>
      <c r="BI201" s="137">
        <f>K201*AP201</f>
        <v>0</v>
      </c>
      <c r="BJ201" s="137">
        <f>K201*L201</f>
        <v>0</v>
      </c>
      <c r="BK201" s="137" t="s">
        <v>442</v>
      </c>
      <c r="BL201" s="137">
        <v>721</v>
      </c>
    </row>
    <row r="202" spans="1:64">
      <c r="A202" s="130"/>
      <c r="D202" s="157" t="s">
        <v>1738</v>
      </c>
      <c r="I202" s="156"/>
      <c r="K202" s="155">
        <v>1</v>
      </c>
      <c r="O202" s="154"/>
      <c r="P202" s="130"/>
    </row>
    <row r="203" spans="1:64">
      <c r="A203" s="130"/>
      <c r="D203" s="157" t="s">
        <v>1737</v>
      </c>
      <c r="I203" s="156"/>
      <c r="K203" s="155">
        <v>5</v>
      </c>
      <c r="O203" s="154"/>
      <c r="P203" s="130"/>
    </row>
    <row r="204" spans="1:64">
      <c r="A204" s="142" t="s">
        <v>173</v>
      </c>
      <c r="B204" s="141" t="s">
        <v>1339</v>
      </c>
      <c r="C204" s="141" t="s">
        <v>1736</v>
      </c>
      <c r="D204" s="243" t="s">
        <v>1735</v>
      </c>
      <c r="E204" s="243"/>
      <c r="F204" s="243"/>
      <c r="G204" s="243"/>
      <c r="H204" s="243"/>
      <c r="I204" s="243"/>
      <c r="J204" s="141" t="s">
        <v>722</v>
      </c>
      <c r="K204" s="137">
        <v>3</v>
      </c>
      <c r="L204" s="203">
        <v>0</v>
      </c>
      <c r="M204" s="137">
        <f>K204*L204</f>
        <v>0</v>
      </c>
      <c r="N204" s="137">
        <v>0</v>
      </c>
      <c r="O204" s="140" t="s">
        <v>1340</v>
      </c>
      <c r="P204" s="130"/>
      <c r="Z204" s="137">
        <f>IF(AQ204="5",BJ204,0)</f>
        <v>0</v>
      </c>
      <c r="AB204" s="137">
        <f>IF(AQ204="1",BH204,0)</f>
        <v>0</v>
      </c>
      <c r="AC204" s="137">
        <f>IF(AQ204="1",BI204,0)</f>
        <v>0</v>
      </c>
      <c r="AD204" s="137">
        <f>IF(AQ204="7",BH204,0)</f>
        <v>0</v>
      </c>
      <c r="AE204" s="137">
        <f>IF(AQ204="7",BI204,0)</f>
        <v>0</v>
      </c>
      <c r="AF204" s="137">
        <f>IF(AQ204="2",BH204,0)</f>
        <v>0</v>
      </c>
      <c r="AG204" s="137">
        <f>IF(AQ204="2",BI204,0)</f>
        <v>0</v>
      </c>
      <c r="AH204" s="137">
        <f>IF(AQ204="0",BJ204,0)</f>
        <v>0</v>
      </c>
      <c r="AI204" s="138" t="s">
        <v>1339</v>
      </c>
      <c r="AJ204" s="137">
        <f>IF(AN204=0,M204,0)</f>
        <v>0</v>
      </c>
      <c r="AK204" s="137">
        <f>IF(AN204=15,M204,0)</f>
        <v>0</v>
      </c>
      <c r="AL204" s="137">
        <f>IF(AN204=21,M204,0)</f>
        <v>0</v>
      </c>
      <c r="AN204" s="137">
        <v>21</v>
      </c>
      <c r="AO204" s="137">
        <f>L204*0</f>
        <v>0</v>
      </c>
      <c r="AP204" s="137">
        <f>L204*(1-0)</f>
        <v>0</v>
      </c>
      <c r="AQ204" s="139" t="s">
        <v>352</v>
      </c>
      <c r="AV204" s="137">
        <f>AW204+AX204</f>
        <v>0</v>
      </c>
      <c r="AW204" s="137">
        <f>K204*AO204</f>
        <v>0</v>
      </c>
      <c r="AX204" s="137">
        <f>K204*AP204</f>
        <v>0</v>
      </c>
      <c r="AY204" s="139" t="s">
        <v>1720</v>
      </c>
      <c r="AZ204" s="139" t="s">
        <v>1712</v>
      </c>
      <c r="BA204" s="138" t="s">
        <v>1336</v>
      </c>
      <c r="BC204" s="137">
        <f>AW204+AX204</f>
        <v>0</v>
      </c>
      <c r="BD204" s="137">
        <f>L204/(100-BE204)*100</f>
        <v>0</v>
      </c>
      <c r="BE204" s="137">
        <v>0</v>
      </c>
      <c r="BF204" s="137">
        <f>204</f>
        <v>204</v>
      </c>
      <c r="BH204" s="137">
        <f>K204*AO204</f>
        <v>0</v>
      </c>
      <c r="BI204" s="137">
        <f>K204*AP204</f>
        <v>0</v>
      </c>
      <c r="BJ204" s="137">
        <f>K204*L204</f>
        <v>0</v>
      </c>
      <c r="BK204" s="137" t="s">
        <v>442</v>
      </c>
      <c r="BL204" s="137">
        <v>721</v>
      </c>
    </row>
    <row r="205" spans="1:64">
      <c r="A205" s="130"/>
      <c r="D205" s="157" t="s">
        <v>362</v>
      </c>
      <c r="I205" s="156"/>
      <c r="K205" s="155">
        <v>3</v>
      </c>
      <c r="O205" s="154"/>
      <c r="P205" s="130"/>
    </row>
    <row r="206" spans="1:64">
      <c r="A206" s="142" t="s">
        <v>169</v>
      </c>
      <c r="B206" s="141" t="s">
        <v>1339</v>
      </c>
      <c r="C206" s="141" t="s">
        <v>1734</v>
      </c>
      <c r="D206" s="243" t="s">
        <v>1733</v>
      </c>
      <c r="E206" s="243"/>
      <c r="F206" s="243"/>
      <c r="G206" s="243"/>
      <c r="H206" s="243"/>
      <c r="I206" s="243"/>
      <c r="J206" s="141" t="s">
        <v>722</v>
      </c>
      <c r="K206" s="137">
        <v>3</v>
      </c>
      <c r="L206" s="203">
        <v>0</v>
      </c>
      <c r="M206" s="137">
        <f>K206*L206</f>
        <v>0</v>
      </c>
      <c r="N206" s="137">
        <v>7.5000000000000002E-4</v>
      </c>
      <c r="O206" s="140" t="s">
        <v>1340</v>
      </c>
      <c r="P206" s="130"/>
      <c r="Z206" s="137">
        <f>IF(AQ206="5",BJ206,0)</f>
        <v>0</v>
      </c>
      <c r="AB206" s="137">
        <f>IF(AQ206="1",BH206,0)</f>
        <v>0</v>
      </c>
      <c r="AC206" s="137">
        <f>IF(AQ206="1",BI206,0)</f>
        <v>0</v>
      </c>
      <c r="AD206" s="137">
        <f>IF(AQ206="7",BH206,0)</f>
        <v>0</v>
      </c>
      <c r="AE206" s="137">
        <f>IF(AQ206="7",BI206,0)</f>
        <v>0</v>
      </c>
      <c r="AF206" s="137">
        <f>IF(AQ206="2",BH206,0)</f>
        <v>0</v>
      </c>
      <c r="AG206" s="137">
        <f>IF(AQ206="2",BI206,0)</f>
        <v>0</v>
      </c>
      <c r="AH206" s="137">
        <f>IF(AQ206="0",BJ206,0)</f>
        <v>0</v>
      </c>
      <c r="AI206" s="138" t="s">
        <v>1339</v>
      </c>
      <c r="AJ206" s="137">
        <f>IF(AN206=0,M206,0)</f>
        <v>0</v>
      </c>
      <c r="AK206" s="137">
        <f>IF(AN206=15,M206,0)</f>
        <v>0</v>
      </c>
      <c r="AL206" s="137">
        <f>IF(AN206=21,M206,0)</f>
        <v>0</v>
      </c>
      <c r="AN206" s="137">
        <v>21</v>
      </c>
      <c r="AO206" s="137">
        <f>L206*0.942562257885999</f>
        <v>0</v>
      </c>
      <c r="AP206" s="137">
        <f>L206*(1-0.942562257885999)</f>
        <v>0</v>
      </c>
      <c r="AQ206" s="139" t="s">
        <v>352</v>
      </c>
      <c r="AV206" s="137">
        <f>AW206+AX206</f>
        <v>0</v>
      </c>
      <c r="AW206" s="137">
        <f>K206*AO206</f>
        <v>0</v>
      </c>
      <c r="AX206" s="137">
        <f>K206*AP206</f>
        <v>0</v>
      </c>
      <c r="AY206" s="139" t="s">
        <v>1720</v>
      </c>
      <c r="AZ206" s="139" t="s">
        <v>1712</v>
      </c>
      <c r="BA206" s="138" t="s">
        <v>1336</v>
      </c>
      <c r="BC206" s="137">
        <f>AW206+AX206</f>
        <v>0</v>
      </c>
      <c r="BD206" s="137">
        <f>L206/(100-BE206)*100</f>
        <v>0</v>
      </c>
      <c r="BE206" s="137">
        <v>0</v>
      </c>
      <c r="BF206" s="137">
        <f>206</f>
        <v>206</v>
      </c>
      <c r="BH206" s="137">
        <f>K206*AO206</f>
        <v>0</v>
      </c>
      <c r="BI206" s="137">
        <f>K206*AP206</f>
        <v>0</v>
      </c>
      <c r="BJ206" s="137">
        <f>K206*L206</f>
        <v>0</v>
      </c>
      <c r="BK206" s="137" t="s">
        <v>442</v>
      </c>
      <c r="BL206" s="137">
        <v>721</v>
      </c>
    </row>
    <row r="207" spans="1:64" ht="14.65" customHeight="1">
      <c r="A207" s="130"/>
      <c r="D207" s="251" t="s">
        <v>1732</v>
      </c>
      <c r="E207" s="251"/>
      <c r="F207" s="251"/>
      <c r="G207" s="251"/>
      <c r="H207" s="251"/>
      <c r="I207" s="251"/>
      <c r="J207" s="251"/>
      <c r="K207" s="251"/>
      <c r="L207" s="251"/>
      <c r="M207" s="251"/>
      <c r="N207" s="251"/>
      <c r="O207" s="251"/>
      <c r="P207" s="130"/>
    </row>
    <row r="208" spans="1:64">
      <c r="A208" s="130"/>
      <c r="D208" s="157" t="s">
        <v>362</v>
      </c>
      <c r="I208" s="156"/>
      <c r="K208" s="155">
        <v>3</v>
      </c>
      <c r="O208" s="154"/>
      <c r="P208" s="130"/>
    </row>
    <row r="209" spans="1:64">
      <c r="A209" s="142" t="s">
        <v>166</v>
      </c>
      <c r="B209" s="141" t="s">
        <v>1339</v>
      </c>
      <c r="C209" s="141" t="s">
        <v>1731</v>
      </c>
      <c r="D209" s="243" t="s">
        <v>1730</v>
      </c>
      <c r="E209" s="243"/>
      <c r="F209" s="243"/>
      <c r="G209" s="243"/>
      <c r="H209" s="243"/>
      <c r="I209" s="243"/>
      <c r="J209" s="141" t="s">
        <v>722</v>
      </c>
      <c r="K209" s="137">
        <v>1</v>
      </c>
      <c r="L209" s="203">
        <v>0</v>
      </c>
      <c r="M209" s="137">
        <f>K209*L209</f>
        <v>0</v>
      </c>
      <c r="N209" s="137">
        <v>1.2999999999999999E-4</v>
      </c>
      <c r="O209" s="140" t="s">
        <v>1340</v>
      </c>
      <c r="P209" s="130"/>
      <c r="Z209" s="137">
        <f>IF(AQ209="5",BJ209,0)</f>
        <v>0</v>
      </c>
      <c r="AB209" s="137">
        <f>IF(AQ209="1",BH209,0)</f>
        <v>0</v>
      </c>
      <c r="AC209" s="137">
        <f>IF(AQ209="1",BI209,0)</f>
        <v>0</v>
      </c>
      <c r="AD209" s="137">
        <f>IF(AQ209="7",BH209,0)</f>
        <v>0</v>
      </c>
      <c r="AE209" s="137">
        <f>IF(AQ209="7",BI209,0)</f>
        <v>0</v>
      </c>
      <c r="AF209" s="137">
        <f>IF(AQ209="2",BH209,0)</f>
        <v>0</v>
      </c>
      <c r="AG209" s="137">
        <f>IF(AQ209="2",BI209,0)</f>
        <v>0</v>
      </c>
      <c r="AH209" s="137">
        <f>IF(AQ209="0",BJ209,0)</f>
        <v>0</v>
      </c>
      <c r="AI209" s="138" t="s">
        <v>1339</v>
      </c>
      <c r="AJ209" s="137">
        <f>IF(AN209=0,M209,0)</f>
        <v>0</v>
      </c>
      <c r="AK209" s="137">
        <f>IF(AN209=15,M209,0)</f>
        <v>0</v>
      </c>
      <c r="AL209" s="137">
        <f>IF(AN209=21,M209,0)</f>
        <v>0</v>
      </c>
      <c r="AN209" s="137">
        <v>21</v>
      </c>
      <c r="AO209" s="137">
        <f>L209*0.858185441521019</f>
        <v>0</v>
      </c>
      <c r="AP209" s="137">
        <f>L209*(1-0.858185441521019)</f>
        <v>0</v>
      </c>
      <c r="AQ209" s="139" t="s">
        <v>352</v>
      </c>
      <c r="AV209" s="137">
        <f>AW209+AX209</f>
        <v>0</v>
      </c>
      <c r="AW209" s="137">
        <f>K209*AO209</f>
        <v>0</v>
      </c>
      <c r="AX209" s="137">
        <f>K209*AP209</f>
        <v>0</v>
      </c>
      <c r="AY209" s="139" t="s">
        <v>1720</v>
      </c>
      <c r="AZ209" s="139" t="s">
        <v>1712</v>
      </c>
      <c r="BA209" s="138" t="s">
        <v>1336</v>
      </c>
      <c r="BC209" s="137">
        <f>AW209+AX209</f>
        <v>0</v>
      </c>
      <c r="BD209" s="137">
        <f>L209/(100-BE209)*100</f>
        <v>0</v>
      </c>
      <c r="BE209" s="137">
        <v>0</v>
      </c>
      <c r="BF209" s="137">
        <f>209</f>
        <v>209</v>
      </c>
      <c r="BH209" s="137">
        <f>K209*AO209</f>
        <v>0</v>
      </c>
      <c r="BI209" s="137">
        <f>K209*AP209</f>
        <v>0</v>
      </c>
      <c r="BJ209" s="137">
        <f>K209*L209</f>
        <v>0</v>
      </c>
      <c r="BK209" s="137" t="s">
        <v>442</v>
      </c>
      <c r="BL209" s="137">
        <v>721</v>
      </c>
    </row>
    <row r="210" spans="1:64" ht="14.65" customHeight="1">
      <c r="A210" s="130"/>
      <c r="D210" s="251" t="s">
        <v>1729</v>
      </c>
      <c r="E210" s="251"/>
      <c r="F210" s="251"/>
      <c r="G210" s="251"/>
      <c r="H210" s="251"/>
      <c r="I210" s="251"/>
      <c r="J210" s="251"/>
      <c r="K210" s="251"/>
      <c r="L210" s="251"/>
      <c r="M210" s="251"/>
      <c r="N210" s="251"/>
      <c r="O210" s="251"/>
      <c r="P210" s="130"/>
    </row>
    <row r="211" spans="1:64">
      <c r="A211" s="130"/>
      <c r="D211" s="157" t="s">
        <v>2</v>
      </c>
      <c r="I211" s="156"/>
      <c r="K211" s="155">
        <v>1</v>
      </c>
      <c r="O211" s="154"/>
      <c r="P211" s="130"/>
    </row>
    <row r="212" spans="1:64">
      <c r="A212" s="142" t="s">
        <v>163</v>
      </c>
      <c r="B212" s="141" t="s">
        <v>1339</v>
      </c>
      <c r="C212" s="141" t="s">
        <v>1728</v>
      </c>
      <c r="D212" s="243" t="s">
        <v>1727</v>
      </c>
      <c r="E212" s="243"/>
      <c r="F212" s="243"/>
      <c r="G212" s="243"/>
      <c r="H212" s="243"/>
      <c r="I212" s="243"/>
      <c r="J212" s="141" t="s">
        <v>722</v>
      </c>
      <c r="K212" s="137">
        <v>1</v>
      </c>
      <c r="L212" s="203">
        <v>0</v>
      </c>
      <c r="M212" s="137">
        <f>K212*L212</f>
        <v>0</v>
      </c>
      <c r="N212" s="137">
        <v>7.2700000000000001E-2</v>
      </c>
      <c r="O212" s="140" t="s">
        <v>1340</v>
      </c>
      <c r="P212" s="130"/>
      <c r="Z212" s="137">
        <f>IF(AQ212="5",BJ212,0)</f>
        <v>0</v>
      </c>
      <c r="AB212" s="137">
        <f>IF(AQ212="1",BH212,0)</f>
        <v>0</v>
      </c>
      <c r="AC212" s="137">
        <f>IF(AQ212="1",BI212,0)</f>
        <v>0</v>
      </c>
      <c r="AD212" s="137">
        <f>IF(AQ212="7",BH212,0)</f>
        <v>0</v>
      </c>
      <c r="AE212" s="137">
        <f>IF(AQ212="7",BI212,0)</f>
        <v>0</v>
      </c>
      <c r="AF212" s="137">
        <f>IF(AQ212="2",BH212,0)</f>
        <v>0</v>
      </c>
      <c r="AG212" s="137">
        <f>IF(AQ212="2",BI212,0)</f>
        <v>0</v>
      </c>
      <c r="AH212" s="137">
        <f>IF(AQ212="0",BJ212,0)</f>
        <v>0</v>
      </c>
      <c r="AI212" s="138" t="s">
        <v>1339</v>
      </c>
      <c r="AJ212" s="137">
        <f>IF(AN212=0,M212,0)</f>
        <v>0</v>
      </c>
      <c r="AK212" s="137">
        <f>IF(AN212=15,M212,0)</f>
        <v>0</v>
      </c>
      <c r="AL212" s="137">
        <f>IF(AN212=21,M212,0)</f>
        <v>0</v>
      </c>
      <c r="AN212" s="137">
        <v>21</v>
      </c>
      <c r="AO212" s="137">
        <f>L212*0.556169105691057</f>
        <v>0</v>
      </c>
      <c r="AP212" s="137">
        <f>L212*(1-0.556169105691057)</f>
        <v>0</v>
      </c>
      <c r="AQ212" s="139" t="s">
        <v>352</v>
      </c>
      <c r="AV212" s="137">
        <f>AW212+AX212</f>
        <v>0</v>
      </c>
      <c r="AW212" s="137">
        <f>K212*AO212</f>
        <v>0</v>
      </c>
      <c r="AX212" s="137">
        <f>K212*AP212</f>
        <v>0</v>
      </c>
      <c r="AY212" s="139" t="s">
        <v>1720</v>
      </c>
      <c r="AZ212" s="139" t="s">
        <v>1712</v>
      </c>
      <c r="BA212" s="138" t="s">
        <v>1336</v>
      </c>
      <c r="BC212" s="137">
        <f>AW212+AX212</f>
        <v>0</v>
      </c>
      <c r="BD212" s="137">
        <f>L212/(100-BE212)*100</f>
        <v>0</v>
      </c>
      <c r="BE212" s="137">
        <v>0</v>
      </c>
      <c r="BF212" s="137">
        <f>212</f>
        <v>212</v>
      </c>
      <c r="BH212" s="137">
        <f>K212*AO212</f>
        <v>0</v>
      </c>
      <c r="BI212" s="137">
        <f>K212*AP212</f>
        <v>0</v>
      </c>
      <c r="BJ212" s="137">
        <f>K212*L212</f>
        <v>0</v>
      </c>
      <c r="BK212" s="137" t="s">
        <v>442</v>
      </c>
      <c r="BL212" s="137">
        <v>721</v>
      </c>
    </row>
    <row r="213" spans="1:64">
      <c r="A213" s="130"/>
      <c r="D213" s="157" t="s">
        <v>2</v>
      </c>
      <c r="I213" s="156"/>
      <c r="K213" s="155">
        <v>1</v>
      </c>
      <c r="O213" s="154"/>
      <c r="P213" s="130"/>
    </row>
    <row r="214" spans="1:64">
      <c r="A214" s="142" t="s">
        <v>159</v>
      </c>
      <c r="B214" s="141" t="s">
        <v>1339</v>
      </c>
      <c r="C214" s="141" t="s">
        <v>1726</v>
      </c>
      <c r="D214" s="243" t="s">
        <v>1725</v>
      </c>
      <c r="E214" s="243"/>
      <c r="F214" s="243"/>
      <c r="G214" s="243"/>
      <c r="H214" s="243"/>
      <c r="I214" s="243"/>
      <c r="J214" s="141" t="s">
        <v>722</v>
      </c>
      <c r="K214" s="137">
        <v>1</v>
      </c>
      <c r="L214" s="203">
        <v>0</v>
      </c>
      <c r="M214" s="137">
        <f>K214*L214</f>
        <v>0</v>
      </c>
      <c r="N214" s="137">
        <v>1.3600000000000001E-3</v>
      </c>
      <c r="O214" s="140" t="s">
        <v>1340</v>
      </c>
      <c r="P214" s="130"/>
      <c r="Z214" s="137">
        <f>IF(AQ214="5",BJ214,0)</f>
        <v>0</v>
      </c>
      <c r="AB214" s="137">
        <f>IF(AQ214="1",BH214,0)</f>
        <v>0</v>
      </c>
      <c r="AC214" s="137">
        <f>IF(AQ214="1",BI214,0)</f>
        <v>0</v>
      </c>
      <c r="AD214" s="137">
        <f>IF(AQ214="7",BH214,0)</f>
        <v>0</v>
      </c>
      <c r="AE214" s="137">
        <f>IF(AQ214="7",BI214,0)</f>
        <v>0</v>
      </c>
      <c r="AF214" s="137">
        <f>IF(AQ214="2",BH214,0)</f>
        <v>0</v>
      </c>
      <c r="AG214" s="137">
        <f>IF(AQ214="2",BI214,0)</f>
        <v>0</v>
      </c>
      <c r="AH214" s="137">
        <f>IF(AQ214="0",BJ214,0)</f>
        <v>0</v>
      </c>
      <c r="AI214" s="138" t="s">
        <v>1339</v>
      </c>
      <c r="AJ214" s="137">
        <f>IF(AN214=0,M214,0)</f>
        <v>0</v>
      </c>
      <c r="AK214" s="137">
        <f>IF(AN214=15,M214,0)</f>
        <v>0</v>
      </c>
      <c r="AL214" s="137">
        <f>IF(AN214=21,M214,0)</f>
        <v>0</v>
      </c>
      <c r="AN214" s="137">
        <v>21</v>
      </c>
      <c r="AO214" s="137">
        <f>L214*0.0652168021680217</f>
        <v>0</v>
      </c>
      <c r="AP214" s="137">
        <f>L214*(1-0.0652168021680217)</f>
        <v>0</v>
      </c>
      <c r="AQ214" s="139" t="s">
        <v>352</v>
      </c>
      <c r="AV214" s="137">
        <f>AW214+AX214</f>
        <v>0</v>
      </c>
      <c r="AW214" s="137">
        <f>K214*AO214</f>
        <v>0</v>
      </c>
      <c r="AX214" s="137">
        <f>K214*AP214</f>
        <v>0</v>
      </c>
      <c r="AY214" s="139" t="s">
        <v>1720</v>
      </c>
      <c r="AZ214" s="139" t="s">
        <v>1712</v>
      </c>
      <c r="BA214" s="138" t="s">
        <v>1336</v>
      </c>
      <c r="BC214" s="137">
        <f>AW214+AX214</f>
        <v>0</v>
      </c>
      <c r="BD214" s="137">
        <f>L214/(100-BE214)*100</f>
        <v>0</v>
      </c>
      <c r="BE214" s="137">
        <v>0</v>
      </c>
      <c r="BF214" s="137">
        <f>214</f>
        <v>214</v>
      </c>
      <c r="BH214" s="137">
        <f>K214*AO214</f>
        <v>0</v>
      </c>
      <c r="BI214" s="137">
        <f>K214*AP214</f>
        <v>0</v>
      </c>
      <c r="BJ214" s="137">
        <f>K214*L214</f>
        <v>0</v>
      </c>
      <c r="BK214" s="137" t="s">
        <v>442</v>
      </c>
      <c r="BL214" s="137">
        <v>721</v>
      </c>
    </row>
    <row r="215" spans="1:64">
      <c r="A215" s="130"/>
      <c r="D215" s="157" t="s">
        <v>2</v>
      </c>
      <c r="I215" s="156"/>
      <c r="K215" s="155">
        <v>1</v>
      </c>
      <c r="O215" s="154"/>
      <c r="P215" s="130"/>
    </row>
    <row r="216" spans="1:64">
      <c r="A216" s="142" t="s">
        <v>155</v>
      </c>
      <c r="B216" s="141" t="s">
        <v>1339</v>
      </c>
      <c r="C216" s="141" t="s">
        <v>1724</v>
      </c>
      <c r="D216" s="243" t="s">
        <v>1723</v>
      </c>
      <c r="E216" s="243"/>
      <c r="F216" s="243"/>
      <c r="G216" s="243"/>
      <c r="H216" s="243"/>
      <c r="I216" s="243"/>
      <c r="J216" s="141" t="s">
        <v>21</v>
      </c>
      <c r="K216" s="137">
        <v>3</v>
      </c>
      <c r="L216" s="203">
        <v>0</v>
      </c>
      <c r="M216" s="137">
        <f>K216*L216</f>
        <v>0</v>
      </c>
      <c r="N216" s="137">
        <v>6.9999999999999999E-4</v>
      </c>
      <c r="O216" s="140" t="s">
        <v>1340</v>
      </c>
      <c r="P216" s="130"/>
      <c r="Z216" s="137">
        <f>IF(AQ216="5",BJ216,0)</f>
        <v>0</v>
      </c>
      <c r="AB216" s="137">
        <f>IF(AQ216="1",BH216,0)</f>
        <v>0</v>
      </c>
      <c r="AC216" s="137">
        <f>IF(AQ216="1",BI216,0)</f>
        <v>0</v>
      </c>
      <c r="AD216" s="137">
        <f>IF(AQ216="7",BH216,0)</f>
        <v>0</v>
      </c>
      <c r="AE216" s="137">
        <f>IF(AQ216="7",BI216,0)</f>
        <v>0</v>
      </c>
      <c r="AF216" s="137">
        <f>IF(AQ216="2",BH216,0)</f>
        <v>0</v>
      </c>
      <c r="AG216" s="137">
        <f>IF(AQ216="2",BI216,0)</f>
        <v>0</v>
      </c>
      <c r="AH216" s="137">
        <f>IF(AQ216="0",BJ216,0)</f>
        <v>0</v>
      </c>
      <c r="AI216" s="138" t="s">
        <v>1339</v>
      </c>
      <c r="AJ216" s="137">
        <f>IF(AN216=0,M216,0)</f>
        <v>0</v>
      </c>
      <c r="AK216" s="137">
        <f>IF(AN216=15,M216,0)</f>
        <v>0</v>
      </c>
      <c r="AL216" s="137">
        <f>IF(AN216=21,M216,0)</f>
        <v>0</v>
      </c>
      <c r="AN216" s="137">
        <v>21</v>
      </c>
      <c r="AO216" s="137">
        <f>L216*0.401658163265306</f>
        <v>0</v>
      </c>
      <c r="AP216" s="137">
        <f>L216*(1-0.401658163265306)</f>
        <v>0</v>
      </c>
      <c r="AQ216" s="139" t="s">
        <v>352</v>
      </c>
      <c r="AV216" s="137">
        <f>AW216+AX216</f>
        <v>0</v>
      </c>
      <c r="AW216" s="137">
        <f>K216*AO216</f>
        <v>0</v>
      </c>
      <c r="AX216" s="137">
        <f>K216*AP216</f>
        <v>0</v>
      </c>
      <c r="AY216" s="139" t="s">
        <v>1720</v>
      </c>
      <c r="AZ216" s="139" t="s">
        <v>1712</v>
      </c>
      <c r="BA216" s="138" t="s">
        <v>1336</v>
      </c>
      <c r="BC216" s="137">
        <f>AW216+AX216</f>
        <v>0</v>
      </c>
      <c r="BD216" s="137">
        <f>L216/(100-BE216)*100</f>
        <v>0</v>
      </c>
      <c r="BE216" s="137">
        <v>0</v>
      </c>
      <c r="BF216" s="137">
        <f>216</f>
        <v>216</v>
      </c>
      <c r="BH216" s="137">
        <f>K216*AO216</f>
        <v>0</v>
      </c>
      <c r="BI216" s="137">
        <f>K216*AP216</f>
        <v>0</v>
      </c>
      <c r="BJ216" s="137">
        <f>K216*L216</f>
        <v>0</v>
      </c>
      <c r="BK216" s="137" t="s">
        <v>442</v>
      </c>
      <c r="BL216" s="137">
        <v>721</v>
      </c>
    </row>
    <row r="217" spans="1:64">
      <c r="A217" s="130"/>
      <c r="D217" s="157" t="s">
        <v>362</v>
      </c>
      <c r="I217" s="156"/>
      <c r="K217" s="155">
        <v>3</v>
      </c>
      <c r="O217" s="154"/>
      <c r="P217" s="130"/>
    </row>
    <row r="218" spans="1:64">
      <c r="A218" s="142" t="s">
        <v>151</v>
      </c>
      <c r="B218" s="141" t="s">
        <v>1339</v>
      </c>
      <c r="C218" s="141" t="s">
        <v>1722</v>
      </c>
      <c r="D218" s="243" t="s">
        <v>1721</v>
      </c>
      <c r="E218" s="243"/>
      <c r="F218" s="243"/>
      <c r="G218" s="243"/>
      <c r="H218" s="243"/>
      <c r="I218" s="243"/>
      <c r="J218" s="141" t="s">
        <v>735</v>
      </c>
      <c r="K218" s="137">
        <v>1.813E-2</v>
      </c>
      <c r="L218" s="203">
        <v>0</v>
      </c>
      <c r="M218" s="137">
        <f>K218*L218</f>
        <v>0</v>
      </c>
      <c r="N218" s="137">
        <v>0</v>
      </c>
      <c r="O218" s="140" t="s">
        <v>1340</v>
      </c>
      <c r="P218" s="130"/>
      <c r="Z218" s="137">
        <f>IF(AQ218="5",BJ218,0)</f>
        <v>0</v>
      </c>
      <c r="AB218" s="137">
        <f>IF(AQ218="1",BH218,0)</f>
        <v>0</v>
      </c>
      <c r="AC218" s="137">
        <f>IF(AQ218="1",BI218,0)</f>
        <v>0</v>
      </c>
      <c r="AD218" s="137">
        <f>IF(AQ218="7",BH218,0)</f>
        <v>0</v>
      </c>
      <c r="AE218" s="137">
        <f>IF(AQ218="7",BI218,0)</f>
        <v>0</v>
      </c>
      <c r="AF218" s="137">
        <f>IF(AQ218="2",BH218,0)</f>
        <v>0</v>
      </c>
      <c r="AG218" s="137">
        <f>IF(AQ218="2",BI218,0)</f>
        <v>0</v>
      </c>
      <c r="AH218" s="137">
        <f>IF(AQ218="0",BJ218,0)</f>
        <v>0</v>
      </c>
      <c r="AI218" s="138" t="s">
        <v>1339</v>
      </c>
      <c r="AJ218" s="137">
        <f>IF(AN218=0,M218,0)</f>
        <v>0</v>
      </c>
      <c r="AK218" s="137">
        <f>IF(AN218=15,M218,0)</f>
        <v>0</v>
      </c>
      <c r="AL218" s="137">
        <f>IF(AN218=21,M218,0)</f>
        <v>0</v>
      </c>
      <c r="AN218" s="137">
        <v>21</v>
      </c>
      <c r="AO218" s="137">
        <f>L218*0</f>
        <v>0</v>
      </c>
      <c r="AP218" s="137">
        <f>L218*(1-0)</f>
        <v>0</v>
      </c>
      <c r="AQ218" s="139" t="s">
        <v>357</v>
      </c>
      <c r="AV218" s="137">
        <f>AW218+AX218</f>
        <v>0</v>
      </c>
      <c r="AW218" s="137">
        <f>K218*AO218</f>
        <v>0</v>
      </c>
      <c r="AX218" s="137">
        <f>K218*AP218</f>
        <v>0</v>
      </c>
      <c r="AY218" s="139" t="s">
        <v>1720</v>
      </c>
      <c r="AZ218" s="139" t="s">
        <v>1712</v>
      </c>
      <c r="BA218" s="138" t="s">
        <v>1336</v>
      </c>
      <c r="BC218" s="137">
        <f>AW218+AX218</f>
        <v>0</v>
      </c>
      <c r="BD218" s="137">
        <f>L218/(100-BE218)*100</f>
        <v>0</v>
      </c>
      <c r="BE218" s="137">
        <v>0</v>
      </c>
      <c r="BF218" s="137">
        <f>218</f>
        <v>218</v>
      </c>
      <c r="BH218" s="137">
        <f>K218*AO218</f>
        <v>0</v>
      </c>
      <c r="BI218" s="137">
        <f>K218*AP218</f>
        <v>0</v>
      </c>
      <c r="BJ218" s="137">
        <f>K218*L218</f>
        <v>0</v>
      </c>
      <c r="BK218" s="137" t="s">
        <v>442</v>
      </c>
      <c r="BL218" s="137">
        <v>721</v>
      </c>
    </row>
    <row r="219" spans="1:64">
      <c r="A219" s="147"/>
      <c r="B219" s="146" t="s">
        <v>1339</v>
      </c>
      <c r="C219" s="146" t="s">
        <v>1719</v>
      </c>
      <c r="D219" s="252" t="s">
        <v>1718</v>
      </c>
      <c r="E219" s="252"/>
      <c r="F219" s="252"/>
      <c r="G219" s="252"/>
      <c r="H219" s="252"/>
      <c r="I219" s="252"/>
      <c r="J219" s="145" t="s">
        <v>1305</v>
      </c>
      <c r="K219" s="145" t="s">
        <v>1305</v>
      </c>
      <c r="L219" s="145" t="s">
        <v>1305</v>
      </c>
      <c r="M219" s="143">
        <f>SUM(M220:M222)</f>
        <v>0</v>
      </c>
      <c r="N219" s="138"/>
      <c r="O219" s="144"/>
      <c r="P219" s="130"/>
      <c r="AI219" s="138" t="s">
        <v>1339</v>
      </c>
      <c r="AS219" s="143">
        <f>SUM(AJ220:AJ222)</f>
        <v>0</v>
      </c>
      <c r="AT219" s="143">
        <f>SUM(AK220:AK222)</f>
        <v>0</v>
      </c>
      <c r="AU219" s="143">
        <f>SUM(AL220:AL222)</f>
        <v>0</v>
      </c>
    </row>
    <row r="220" spans="1:64">
      <c r="A220" s="142" t="s">
        <v>147</v>
      </c>
      <c r="B220" s="141" t="s">
        <v>1339</v>
      </c>
      <c r="C220" s="141" t="s">
        <v>1717</v>
      </c>
      <c r="D220" s="243" t="s">
        <v>1716</v>
      </c>
      <c r="E220" s="243"/>
      <c r="F220" s="243"/>
      <c r="G220" s="243"/>
      <c r="H220" s="243"/>
      <c r="I220" s="243"/>
      <c r="J220" s="141" t="s">
        <v>735</v>
      </c>
      <c r="K220" s="137">
        <v>0.53</v>
      </c>
      <c r="L220" s="203">
        <v>0</v>
      </c>
      <c r="M220" s="137">
        <f>K220*L220</f>
        <v>0</v>
      </c>
      <c r="N220" s="137">
        <v>0</v>
      </c>
      <c r="O220" s="140" t="s">
        <v>1340</v>
      </c>
      <c r="P220" s="130"/>
      <c r="Z220" s="137">
        <f>IF(AQ220="5",BJ220,0)</f>
        <v>0</v>
      </c>
      <c r="AB220" s="137">
        <f>IF(AQ220="1",BH220,0)</f>
        <v>0</v>
      </c>
      <c r="AC220" s="137">
        <f>IF(AQ220="1",BI220,0)</f>
        <v>0</v>
      </c>
      <c r="AD220" s="137">
        <f>IF(AQ220="7",BH220,0)</f>
        <v>0</v>
      </c>
      <c r="AE220" s="137">
        <f>IF(AQ220="7",BI220,0)</f>
        <v>0</v>
      </c>
      <c r="AF220" s="137">
        <f>IF(AQ220="2",BH220,0)</f>
        <v>0</v>
      </c>
      <c r="AG220" s="137">
        <f>IF(AQ220="2",BI220,0)</f>
        <v>0</v>
      </c>
      <c r="AH220" s="137">
        <f>IF(AQ220="0",BJ220,0)</f>
        <v>0</v>
      </c>
      <c r="AI220" s="138" t="s">
        <v>1339</v>
      </c>
      <c r="AJ220" s="137">
        <f>IF(AN220=0,M220,0)</f>
        <v>0</v>
      </c>
      <c r="AK220" s="137">
        <f>IF(AN220=15,M220,0)</f>
        <v>0</v>
      </c>
      <c r="AL220" s="137">
        <f>IF(AN220=21,M220,0)</f>
        <v>0</v>
      </c>
      <c r="AN220" s="137">
        <v>21</v>
      </c>
      <c r="AO220" s="137">
        <f>L220*0</f>
        <v>0</v>
      </c>
      <c r="AP220" s="137">
        <f>L220*(1-0)</f>
        <v>0</v>
      </c>
      <c r="AQ220" s="139" t="s">
        <v>352</v>
      </c>
      <c r="AV220" s="137">
        <f>AW220+AX220</f>
        <v>0</v>
      </c>
      <c r="AW220" s="137">
        <f>K220*AO220</f>
        <v>0</v>
      </c>
      <c r="AX220" s="137">
        <f>K220*AP220</f>
        <v>0</v>
      </c>
      <c r="AY220" s="139" t="s">
        <v>1713</v>
      </c>
      <c r="AZ220" s="139" t="s">
        <v>1712</v>
      </c>
      <c r="BA220" s="138" t="s">
        <v>1336</v>
      </c>
      <c r="BC220" s="137">
        <f>AW220+AX220</f>
        <v>0</v>
      </c>
      <c r="BD220" s="137">
        <f>L220/(100-BE220)*100</f>
        <v>0</v>
      </c>
      <c r="BE220" s="137">
        <v>0</v>
      </c>
      <c r="BF220" s="137">
        <f>220</f>
        <v>220</v>
      </c>
      <c r="BH220" s="137">
        <f>K220*AO220</f>
        <v>0</v>
      </c>
      <c r="BI220" s="137">
        <f>K220*AP220</f>
        <v>0</v>
      </c>
      <c r="BJ220" s="137">
        <f>K220*L220</f>
        <v>0</v>
      </c>
      <c r="BK220" s="137" t="s">
        <v>442</v>
      </c>
      <c r="BL220" s="137">
        <v>722</v>
      </c>
    </row>
    <row r="221" spans="1:64">
      <c r="A221" s="130"/>
      <c r="D221" s="157" t="s">
        <v>1334</v>
      </c>
      <c r="I221" s="156"/>
      <c r="K221" s="155">
        <v>0.53</v>
      </c>
      <c r="O221" s="154"/>
      <c r="P221" s="130"/>
    </row>
    <row r="222" spans="1:64">
      <c r="A222" s="142" t="s">
        <v>144</v>
      </c>
      <c r="B222" s="141" t="s">
        <v>1339</v>
      </c>
      <c r="C222" s="141" t="s">
        <v>1715</v>
      </c>
      <c r="D222" s="243" t="s">
        <v>1714</v>
      </c>
      <c r="E222" s="243"/>
      <c r="F222" s="243"/>
      <c r="G222" s="243"/>
      <c r="H222" s="243"/>
      <c r="I222" s="243"/>
      <c r="J222" s="141" t="s">
        <v>21</v>
      </c>
      <c r="K222" s="137">
        <v>37</v>
      </c>
      <c r="L222" s="203">
        <v>0</v>
      </c>
      <c r="M222" s="137">
        <f>K222*L222</f>
        <v>0</v>
      </c>
      <c r="N222" s="137">
        <v>0</v>
      </c>
      <c r="O222" s="140" t="s">
        <v>1340</v>
      </c>
      <c r="P222" s="130"/>
      <c r="Z222" s="137">
        <f>IF(AQ222="5",BJ222,0)</f>
        <v>0</v>
      </c>
      <c r="AB222" s="137">
        <f>IF(AQ222="1",BH222,0)</f>
        <v>0</v>
      </c>
      <c r="AC222" s="137">
        <f>IF(AQ222="1",BI222,0)</f>
        <v>0</v>
      </c>
      <c r="AD222" s="137">
        <f>IF(AQ222="7",BH222,0)</f>
        <v>0</v>
      </c>
      <c r="AE222" s="137">
        <f>IF(AQ222="7",BI222,0)</f>
        <v>0</v>
      </c>
      <c r="AF222" s="137">
        <f>IF(AQ222="2",BH222,0)</f>
        <v>0</v>
      </c>
      <c r="AG222" s="137">
        <f>IF(AQ222="2",BI222,0)</f>
        <v>0</v>
      </c>
      <c r="AH222" s="137">
        <f>IF(AQ222="0",BJ222,0)</f>
        <v>0</v>
      </c>
      <c r="AI222" s="138" t="s">
        <v>1339</v>
      </c>
      <c r="AJ222" s="137">
        <f>IF(AN222=0,M222,0)</f>
        <v>0</v>
      </c>
      <c r="AK222" s="137">
        <f>IF(AN222=15,M222,0)</f>
        <v>0</v>
      </c>
      <c r="AL222" s="137">
        <f>IF(AN222=21,M222,0)</f>
        <v>0</v>
      </c>
      <c r="AN222" s="137">
        <v>21</v>
      </c>
      <c r="AO222" s="137">
        <f>L222*0</f>
        <v>0</v>
      </c>
      <c r="AP222" s="137">
        <f>L222*(1-0)</f>
        <v>0</v>
      </c>
      <c r="AQ222" s="139" t="s">
        <v>352</v>
      </c>
      <c r="AV222" s="137">
        <f>AW222+AX222</f>
        <v>0</v>
      </c>
      <c r="AW222" s="137">
        <f>K222*AO222</f>
        <v>0</v>
      </c>
      <c r="AX222" s="137">
        <f>K222*AP222</f>
        <v>0</v>
      </c>
      <c r="AY222" s="139" t="s">
        <v>1713</v>
      </c>
      <c r="AZ222" s="139" t="s">
        <v>1712</v>
      </c>
      <c r="BA222" s="138" t="s">
        <v>1336</v>
      </c>
      <c r="BC222" s="137">
        <f>AW222+AX222</f>
        <v>0</v>
      </c>
      <c r="BD222" s="137">
        <f>L222/(100-BE222)*100</f>
        <v>0</v>
      </c>
      <c r="BE222" s="137">
        <v>0</v>
      </c>
      <c r="BF222" s="137">
        <f>222</f>
        <v>222</v>
      </c>
      <c r="BH222" s="137">
        <f>K222*AO222</f>
        <v>0</v>
      </c>
      <c r="BI222" s="137">
        <f>K222*AP222</f>
        <v>0</v>
      </c>
      <c r="BJ222" s="137">
        <f>K222*L222</f>
        <v>0</v>
      </c>
      <c r="BK222" s="137" t="s">
        <v>442</v>
      </c>
      <c r="BL222" s="137">
        <v>722</v>
      </c>
    </row>
    <row r="223" spans="1:64">
      <c r="A223" s="130"/>
      <c r="D223" s="157" t="s">
        <v>1711</v>
      </c>
      <c r="I223" s="156"/>
      <c r="K223" s="155">
        <v>37</v>
      </c>
      <c r="O223" s="154"/>
      <c r="P223" s="130"/>
    </row>
    <row r="224" spans="1:64">
      <c r="A224" s="147"/>
      <c r="B224" s="146" t="s">
        <v>1339</v>
      </c>
      <c r="C224" s="146" t="s">
        <v>1710</v>
      </c>
      <c r="D224" s="252" t="s">
        <v>1709</v>
      </c>
      <c r="E224" s="252"/>
      <c r="F224" s="252"/>
      <c r="G224" s="252"/>
      <c r="H224" s="252"/>
      <c r="I224" s="252"/>
      <c r="J224" s="145" t="s">
        <v>1305</v>
      </c>
      <c r="K224" s="145" t="s">
        <v>1305</v>
      </c>
      <c r="L224" s="145" t="s">
        <v>1305</v>
      </c>
      <c r="M224" s="143">
        <f>SUM(M225:M253)</f>
        <v>0</v>
      </c>
      <c r="N224" s="138"/>
      <c r="O224" s="144"/>
      <c r="P224" s="130"/>
      <c r="AI224" s="138" t="s">
        <v>1339</v>
      </c>
      <c r="AS224" s="143">
        <f>SUM(AJ225:AJ253)</f>
        <v>0</v>
      </c>
      <c r="AT224" s="143">
        <f>SUM(AK225:AK253)</f>
        <v>0</v>
      </c>
      <c r="AU224" s="143">
        <f>SUM(AL225:AL253)</f>
        <v>0</v>
      </c>
    </row>
    <row r="225" spans="1:64">
      <c r="A225" s="142" t="s">
        <v>141</v>
      </c>
      <c r="B225" s="141" t="s">
        <v>1339</v>
      </c>
      <c r="C225" s="141" t="s">
        <v>1708</v>
      </c>
      <c r="D225" s="243" t="s">
        <v>1707</v>
      </c>
      <c r="E225" s="243"/>
      <c r="F225" s="243"/>
      <c r="G225" s="243"/>
      <c r="H225" s="243"/>
      <c r="I225" s="243"/>
      <c r="J225" s="141" t="s">
        <v>691</v>
      </c>
      <c r="K225" s="137">
        <v>1.1200000000000001</v>
      </c>
      <c r="L225" s="203">
        <v>0</v>
      </c>
      <c r="M225" s="137">
        <f>K225*L225</f>
        <v>0</v>
      </c>
      <c r="N225" s="137">
        <v>0</v>
      </c>
      <c r="O225" s="140" t="s">
        <v>1340</v>
      </c>
      <c r="P225" s="130"/>
      <c r="Z225" s="137">
        <f>IF(AQ225="5",BJ225,0)</f>
        <v>0</v>
      </c>
      <c r="AB225" s="137">
        <f>IF(AQ225="1",BH225,0)</f>
        <v>0</v>
      </c>
      <c r="AC225" s="137">
        <f>IF(AQ225="1",BI225,0)</f>
        <v>0</v>
      </c>
      <c r="AD225" s="137">
        <f>IF(AQ225="7",BH225,0)</f>
        <v>0</v>
      </c>
      <c r="AE225" s="137">
        <f>IF(AQ225="7",BI225,0)</f>
        <v>0</v>
      </c>
      <c r="AF225" s="137">
        <f>IF(AQ225="2",BH225,0)</f>
        <v>0</v>
      </c>
      <c r="AG225" s="137">
        <f>IF(AQ225="2",BI225,0)</f>
        <v>0</v>
      </c>
      <c r="AH225" s="137">
        <f>IF(AQ225="0",BJ225,0)</f>
        <v>0</v>
      </c>
      <c r="AI225" s="138" t="s">
        <v>1339</v>
      </c>
      <c r="AJ225" s="137">
        <f>IF(AN225=0,M225,0)</f>
        <v>0</v>
      </c>
      <c r="AK225" s="137">
        <f>IF(AN225=15,M225,0)</f>
        <v>0</v>
      </c>
      <c r="AL225" s="137">
        <f>IF(AN225=21,M225,0)</f>
        <v>0</v>
      </c>
      <c r="AN225" s="137">
        <v>21</v>
      </c>
      <c r="AO225" s="137">
        <f>L225*0</f>
        <v>0</v>
      </c>
      <c r="AP225" s="137">
        <f>L225*(1-0)</f>
        <v>0</v>
      </c>
      <c r="AQ225" s="139" t="s">
        <v>352</v>
      </c>
      <c r="AV225" s="137">
        <f>AW225+AX225</f>
        <v>0</v>
      </c>
      <c r="AW225" s="137">
        <f>K225*AO225</f>
        <v>0</v>
      </c>
      <c r="AX225" s="137">
        <f>K225*AP225</f>
        <v>0</v>
      </c>
      <c r="AY225" s="139" t="s">
        <v>1668</v>
      </c>
      <c r="AZ225" s="139" t="s">
        <v>1551</v>
      </c>
      <c r="BA225" s="138" t="s">
        <v>1336</v>
      </c>
      <c r="BC225" s="137">
        <f>AW225+AX225</f>
        <v>0</v>
      </c>
      <c r="BD225" s="137">
        <f>L225/(100-BE225)*100</f>
        <v>0</v>
      </c>
      <c r="BE225" s="137">
        <v>0</v>
      </c>
      <c r="BF225" s="137">
        <f>225</f>
        <v>225</v>
      </c>
      <c r="BH225" s="137">
        <f>K225*AO225</f>
        <v>0</v>
      </c>
      <c r="BI225" s="137">
        <f>K225*AP225</f>
        <v>0</v>
      </c>
      <c r="BJ225" s="137">
        <f>K225*L225</f>
        <v>0</v>
      </c>
      <c r="BK225" s="137" t="s">
        <v>442</v>
      </c>
      <c r="BL225" s="137">
        <v>762</v>
      </c>
    </row>
    <row r="226" spans="1:64">
      <c r="A226" s="130"/>
      <c r="D226" s="157" t="s">
        <v>1706</v>
      </c>
      <c r="I226" s="156"/>
      <c r="K226" s="155">
        <v>1.1200000000000001</v>
      </c>
      <c r="O226" s="154"/>
      <c r="P226" s="130"/>
    </row>
    <row r="227" spans="1:64">
      <c r="A227" s="142" t="s">
        <v>137</v>
      </c>
      <c r="B227" s="141" t="s">
        <v>1339</v>
      </c>
      <c r="C227" s="141" t="s">
        <v>1705</v>
      </c>
      <c r="D227" s="243" t="s">
        <v>1704</v>
      </c>
      <c r="E227" s="243"/>
      <c r="F227" s="243"/>
      <c r="G227" s="243"/>
      <c r="H227" s="243"/>
      <c r="I227" s="243"/>
      <c r="J227" s="141" t="s">
        <v>691</v>
      </c>
      <c r="K227" s="137">
        <v>2.2400000000000002</v>
      </c>
      <c r="L227" s="203">
        <v>0</v>
      </c>
      <c r="M227" s="137">
        <f>K227*L227</f>
        <v>0</v>
      </c>
      <c r="N227" s="137">
        <v>1.438E-2</v>
      </c>
      <c r="O227" s="140" t="s">
        <v>1340</v>
      </c>
      <c r="P227" s="130"/>
      <c r="Z227" s="137">
        <f>IF(AQ227="5",BJ227,0)</f>
        <v>0</v>
      </c>
      <c r="AB227" s="137">
        <f>IF(AQ227="1",BH227,0)</f>
        <v>0</v>
      </c>
      <c r="AC227" s="137">
        <f>IF(AQ227="1",BI227,0)</f>
        <v>0</v>
      </c>
      <c r="AD227" s="137">
        <f>IF(AQ227="7",BH227,0)</f>
        <v>0</v>
      </c>
      <c r="AE227" s="137">
        <f>IF(AQ227="7",BI227,0)</f>
        <v>0</v>
      </c>
      <c r="AF227" s="137">
        <f>IF(AQ227="2",BH227,0)</f>
        <v>0</v>
      </c>
      <c r="AG227" s="137">
        <f>IF(AQ227="2",BI227,0)</f>
        <v>0</v>
      </c>
      <c r="AH227" s="137">
        <f>IF(AQ227="0",BJ227,0)</f>
        <v>0</v>
      </c>
      <c r="AI227" s="138" t="s">
        <v>1339</v>
      </c>
      <c r="AJ227" s="137">
        <f>IF(AN227=0,M227,0)</f>
        <v>0</v>
      </c>
      <c r="AK227" s="137">
        <f>IF(AN227=15,M227,0)</f>
        <v>0</v>
      </c>
      <c r="AL227" s="137">
        <f>IF(AN227=21,M227,0)</f>
        <v>0</v>
      </c>
      <c r="AN227" s="137">
        <v>21</v>
      </c>
      <c r="AO227" s="137">
        <f>L227*0.213470941883768</f>
        <v>0</v>
      </c>
      <c r="AP227" s="137">
        <f>L227*(1-0.213470941883768)</f>
        <v>0</v>
      </c>
      <c r="AQ227" s="139" t="s">
        <v>352</v>
      </c>
      <c r="AV227" s="137">
        <f>AW227+AX227</f>
        <v>0</v>
      </c>
      <c r="AW227" s="137">
        <f>K227*AO227</f>
        <v>0</v>
      </c>
      <c r="AX227" s="137">
        <f>K227*AP227</f>
        <v>0</v>
      </c>
      <c r="AY227" s="139" t="s">
        <v>1668</v>
      </c>
      <c r="AZ227" s="139" t="s">
        <v>1551</v>
      </c>
      <c r="BA227" s="138" t="s">
        <v>1336</v>
      </c>
      <c r="BC227" s="137">
        <f>AW227+AX227</f>
        <v>0</v>
      </c>
      <c r="BD227" s="137">
        <f>L227/(100-BE227)*100</f>
        <v>0</v>
      </c>
      <c r="BE227" s="137">
        <v>0</v>
      </c>
      <c r="BF227" s="137">
        <f>227</f>
        <v>227</v>
      </c>
      <c r="BH227" s="137">
        <f>K227*AO227</f>
        <v>0</v>
      </c>
      <c r="BI227" s="137">
        <f>K227*AP227</f>
        <v>0</v>
      </c>
      <c r="BJ227" s="137">
        <f>K227*L227</f>
        <v>0</v>
      </c>
      <c r="BK227" s="137" t="s">
        <v>442</v>
      </c>
      <c r="BL227" s="137">
        <v>762</v>
      </c>
    </row>
    <row r="228" spans="1:64" ht="14.65" customHeight="1">
      <c r="A228" s="130"/>
      <c r="D228" s="251" t="s">
        <v>1703</v>
      </c>
      <c r="E228" s="251"/>
      <c r="F228" s="251"/>
      <c r="G228" s="251"/>
      <c r="H228" s="251"/>
      <c r="I228" s="251"/>
      <c r="J228" s="251"/>
      <c r="K228" s="251"/>
      <c r="L228" s="251"/>
      <c r="M228" s="251"/>
      <c r="N228" s="251"/>
      <c r="O228" s="251"/>
      <c r="P228" s="130"/>
    </row>
    <row r="229" spans="1:64">
      <c r="A229" s="130"/>
      <c r="D229" s="157" t="s">
        <v>1702</v>
      </c>
      <c r="I229" s="156"/>
      <c r="K229" s="155">
        <v>2.2400000000000002</v>
      </c>
      <c r="O229" s="154"/>
      <c r="P229" s="130"/>
    </row>
    <row r="230" spans="1:64">
      <c r="A230" s="142" t="s">
        <v>133</v>
      </c>
      <c r="B230" s="141" t="s">
        <v>1339</v>
      </c>
      <c r="C230" s="141" t="s">
        <v>1701</v>
      </c>
      <c r="D230" s="243" t="s">
        <v>1700</v>
      </c>
      <c r="E230" s="243"/>
      <c r="F230" s="243"/>
      <c r="G230" s="243"/>
      <c r="H230" s="243"/>
      <c r="I230" s="243"/>
      <c r="J230" s="141" t="s">
        <v>691</v>
      </c>
      <c r="K230" s="137">
        <v>1.99</v>
      </c>
      <c r="L230" s="203">
        <v>0</v>
      </c>
      <c r="M230" s="137">
        <f>K230*L230</f>
        <v>0</v>
      </c>
      <c r="N230" s="137">
        <v>1.6000000000000001E-4</v>
      </c>
      <c r="O230" s="140" t="s">
        <v>1340</v>
      </c>
      <c r="P230" s="130"/>
      <c r="Z230" s="137">
        <f>IF(AQ230="5",BJ230,0)</f>
        <v>0</v>
      </c>
      <c r="AB230" s="137">
        <f>IF(AQ230="1",BH230,0)</f>
        <v>0</v>
      </c>
      <c r="AC230" s="137">
        <f>IF(AQ230="1",BI230,0)</f>
        <v>0</v>
      </c>
      <c r="AD230" s="137">
        <f>IF(AQ230="7",BH230,0)</f>
        <v>0</v>
      </c>
      <c r="AE230" s="137">
        <f>IF(AQ230="7",BI230,0)</f>
        <v>0</v>
      </c>
      <c r="AF230" s="137">
        <f>IF(AQ230="2",BH230,0)</f>
        <v>0</v>
      </c>
      <c r="AG230" s="137">
        <f>IF(AQ230="2",BI230,0)</f>
        <v>0</v>
      </c>
      <c r="AH230" s="137">
        <f>IF(AQ230="0",BJ230,0)</f>
        <v>0</v>
      </c>
      <c r="AI230" s="138" t="s">
        <v>1339</v>
      </c>
      <c r="AJ230" s="137">
        <f>IF(AN230=0,M230,0)</f>
        <v>0</v>
      </c>
      <c r="AK230" s="137">
        <f>IF(AN230=15,M230,0)</f>
        <v>0</v>
      </c>
      <c r="AL230" s="137">
        <f>IF(AN230=21,M230,0)</f>
        <v>0</v>
      </c>
      <c r="AN230" s="137">
        <v>21</v>
      </c>
      <c r="AO230" s="137">
        <f>L230*0.00656451836665485</f>
        <v>0</v>
      </c>
      <c r="AP230" s="137">
        <f>L230*(1-0.00656451836665485)</f>
        <v>0</v>
      </c>
      <c r="AQ230" s="139" t="s">
        <v>352</v>
      </c>
      <c r="AV230" s="137">
        <f>AW230+AX230</f>
        <v>0</v>
      </c>
      <c r="AW230" s="137">
        <f>K230*AO230</f>
        <v>0</v>
      </c>
      <c r="AX230" s="137">
        <f>K230*AP230</f>
        <v>0</v>
      </c>
      <c r="AY230" s="139" t="s">
        <v>1668</v>
      </c>
      <c r="AZ230" s="139" t="s">
        <v>1551</v>
      </c>
      <c r="BA230" s="138" t="s">
        <v>1336</v>
      </c>
      <c r="BC230" s="137">
        <f>AW230+AX230</f>
        <v>0</v>
      </c>
      <c r="BD230" s="137">
        <f>L230/(100-BE230)*100</f>
        <v>0</v>
      </c>
      <c r="BE230" s="137">
        <v>0</v>
      </c>
      <c r="BF230" s="137">
        <f>230</f>
        <v>230</v>
      </c>
      <c r="BH230" s="137">
        <f>K230*AO230</f>
        <v>0</v>
      </c>
      <c r="BI230" s="137">
        <f>K230*AP230</f>
        <v>0</v>
      </c>
      <c r="BJ230" s="137">
        <f>K230*L230</f>
        <v>0</v>
      </c>
      <c r="BK230" s="137" t="s">
        <v>442</v>
      </c>
      <c r="BL230" s="137">
        <v>762</v>
      </c>
    </row>
    <row r="231" spans="1:64">
      <c r="A231" s="130"/>
      <c r="D231" s="157" t="s">
        <v>1699</v>
      </c>
      <c r="I231" s="156"/>
      <c r="K231" s="155">
        <v>1.99</v>
      </c>
      <c r="O231" s="154"/>
      <c r="P231" s="130"/>
    </row>
    <row r="232" spans="1:64">
      <c r="A232" s="142" t="s">
        <v>129</v>
      </c>
      <c r="B232" s="141" t="s">
        <v>1339</v>
      </c>
      <c r="C232" s="141" t="s">
        <v>1698</v>
      </c>
      <c r="D232" s="243" t="s">
        <v>1697</v>
      </c>
      <c r="E232" s="243"/>
      <c r="F232" s="243"/>
      <c r="G232" s="243"/>
      <c r="H232" s="243"/>
      <c r="I232" s="243"/>
      <c r="J232" s="141" t="s">
        <v>691</v>
      </c>
      <c r="K232" s="137">
        <v>2.6</v>
      </c>
      <c r="L232" s="203">
        <v>0</v>
      </c>
      <c r="M232" s="137">
        <f>K232*L232</f>
        <v>0</v>
      </c>
      <c r="N232" s="137">
        <v>1.4619999999999999E-2</v>
      </c>
      <c r="O232" s="140" t="s">
        <v>1340</v>
      </c>
      <c r="P232" s="130"/>
      <c r="Z232" s="137">
        <f>IF(AQ232="5",BJ232,0)</f>
        <v>0</v>
      </c>
      <c r="AB232" s="137">
        <f>IF(AQ232="1",BH232,0)</f>
        <v>0</v>
      </c>
      <c r="AC232" s="137">
        <f>IF(AQ232="1",BI232,0)</f>
        <v>0</v>
      </c>
      <c r="AD232" s="137">
        <f>IF(AQ232="7",BH232,0)</f>
        <v>0</v>
      </c>
      <c r="AE232" s="137">
        <f>IF(AQ232="7",BI232,0)</f>
        <v>0</v>
      </c>
      <c r="AF232" s="137">
        <f>IF(AQ232="2",BH232,0)</f>
        <v>0</v>
      </c>
      <c r="AG232" s="137">
        <f>IF(AQ232="2",BI232,0)</f>
        <v>0</v>
      </c>
      <c r="AH232" s="137">
        <f>IF(AQ232="0",BJ232,0)</f>
        <v>0</v>
      </c>
      <c r="AI232" s="138" t="s">
        <v>1339</v>
      </c>
      <c r="AJ232" s="137">
        <f>IF(AN232=0,M232,0)</f>
        <v>0</v>
      </c>
      <c r="AK232" s="137">
        <f>IF(AN232=15,M232,0)</f>
        <v>0</v>
      </c>
      <c r="AL232" s="137">
        <f>IF(AN232=21,M232,0)</f>
        <v>0</v>
      </c>
      <c r="AN232" s="137">
        <v>21</v>
      </c>
      <c r="AO232" s="137">
        <f>L232*0.132438524590164</f>
        <v>0</v>
      </c>
      <c r="AP232" s="137">
        <f>L232*(1-0.132438524590164)</f>
        <v>0</v>
      </c>
      <c r="AQ232" s="139" t="s">
        <v>352</v>
      </c>
      <c r="AV232" s="137">
        <f>AW232+AX232</f>
        <v>0</v>
      </c>
      <c r="AW232" s="137">
        <f>K232*AO232</f>
        <v>0</v>
      </c>
      <c r="AX232" s="137">
        <f>K232*AP232</f>
        <v>0</v>
      </c>
      <c r="AY232" s="139" t="s">
        <v>1668</v>
      </c>
      <c r="AZ232" s="139" t="s">
        <v>1551</v>
      </c>
      <c r="BA232" s="138" t="s">
        <v>1336</v>
      </c>
      <c r="BC232" s="137">
        <f>AW232+AX232</f>
        <v>0</v>
      </c>
      <c r="BD232" s="137">
        <f>L232/(100-BE232)*100</f>
        <v>0</v>
      </c>
      <c r="BE232" s="137">
        <v>0</v>
      </c>
      <c r="BF232" s="137">
        <f>232</f>
        <v>232</v>
      </c>
      <c r="BH232" s="137">
        <f>K232*AO232</f>
        <v>0</v>
      </c>
      <c r="BI232" s="137">
        <f>K232*AP232</f>
        <v>0</v>
      </c>
      <c r="BJ232" s="137">
        <f>K232*L232</f>
        <v>0</v>
      </c>
      <c r="BK232" s="137" t="s">
        <v>442</v>
      </c>
      <c r="BL232" s="137">
        <v>762</v>
      </c>
    </row>
    <row r="233" spans="1:64" ht="14.65" customHeight="1">
      <c r="A233" s="130"/>
      <c r="D233" s="251" t="s">
        <v>1696</v>
      </c>
      <c r="E233" s="251"/>
      <c r="F233" s="251"/>
      <c r="G233" s="251"/>
      <c r="H233" s="251"/>
      <c r="I233" s="251"/>
      <c r="J233" s="251"/>
      <c r="K233" s="251"/>
      <c r="L233" s="251"/>
      <c r="M233" s="251"/>
      <c r="N233" s="251"/>
      <c r="O233" s="251"/>
      <c r="P233" s="130"/>
    </row>
    <row r="234" spans="1:64">
      <c r="A234" s="130"/>
      <c r="D234" s="157" t="s">
        <v>1695</v>
      </c>
      <c r="I234" s="156"/>
      <c r="K234" s="155">
        <v>2.6</v>
      </c>
      <c r="O234" s="154"/>
      <c r="P234" s="130"/>
    </row>
    <row r="235" spans="1:64">
      <c r="A235" s="142" t="s">
        <v>125</v>
      </c>
      <c r="B235" s="141" t="s">
        <v>1339</v>
      </c>
      <c r="C235" s="141" t="s">
        <v>1694</v>
      </c>
      <c r="D235" s="243" t="s">
        <v>1693</v>
      </c>
      <c r="E235" s="243"/>
      <c r="F235" s="243"/>
      <c r="G235" s="243"/>
      <c r="H235" s="243"/>
      <c r="I235" s="243"/>
      <c r="J235" s="141" t="s">
        <v>691</v>
      </c>
      <c r="K235" s="137">
        <v>2.6</v>
      </c>
      <c r="L235" s="203">
        <v>0</v>
      </c>
      <c r="M235" s="137">
        <f>K235*L235</f>
        <v>0</v>
      </c>
      <c r="N235" s="137">
        <v>3.0599999999999998E-3</v>
      </c>
      <c r="O235" s="140" t="s">
        <v>1340</v>
      </c>
      <c r="P235" s="130"/>
      <c r="Z235" s="137">
        <f>IF(AQ235="5",BJ235,0)</f>
        <v>0</v>
      </c>
      <c r="AB235" s="137">
        <f>IF(AQ235="1",BH235,0)</f>
        <v>0</v>
      </c>
      <c r="AC235" s="137">
        <f>IF(AQ235="1",BI235,0)</f>
        <v>0</v>
      </c>
      <c r="AD235" s="137">
        <f>IF(AQ235="7",BH235,0)</f>
        <v>0</v>
      </c>
      <c r="AE235" s="137">
        <f>IF(AQ235="7",BI235,0)</f>
        <v>0</v>
      </c>
      <c r="AF235" s="137">
        <f>IF(AQ235="2",BH235,0)</f>
        <v>0</v>
      </c>
      <c r="AG235" s="137">
        <f>IF(AQ235="2",BI235,0)</f>
        <v>0</v>
      </c>
      <c r="AH235" s="137">
        <f>IF(AQ235="0",BJ235,0)</f>
        <v>0</v>
      </c>
      <c r="AI235" s="138" t="s">
        <v>1339</v>
      </c>
      <c r="AJ235" s="137">
        <f>IF(AN235=0,M235,0)</f>
        <v>0</v>
      </c>
      <c r="AK235" s="137">
        <f>IF(AN235=15,M235,0)</f>
        <v>0</v>
      </c>
      <c r="AL235" s="137">
        <f>IF(AN235=21,M235,0)</f>
        <v>0</v>
      </c>
      <c r="AN235" s="137">
        <v>21</v>
      </c>
      <c r="AO235" s="137">
        <f>L235*0.223776493256262</f>
        <v>0</v>
      </c>
      <c r="AP235" s="137">
        <f>L235*(1-0.223776493256262)</f>
        <v>0</v>
      </c>
      <c r="AQ235" s="139" t="s">
        <v>352</v>
      </c>
      <c r="AV235" s="137">
        <f>AW235+AX235</f>
        <v>0</v>
      </c>
      <c r="AW235" s="137">
        <f>K235*AO235</f>
        <v>0</v>
      </c>
      <c r="AX235" s="137">
        <f>K235*AP235</f>
        <v>0</v>
      </c>
      <c r="AY235" s="139" t="s">
        <v>1668</v>
      </c>
      <c r="AZ235" s="139" t="s">
        <v>1551</v>
      </c>
      <c r="BA235" s="138" t="s">
        <v>1336</v>
      </c>
      <c r="BC235" s="137">
        <f>AW235+AX235</f>
        <v>0</v>
      </c>
      <c r="BD235" s="137">
        <f>L235/(100-BE235)*100</f>
        <v>0</v>
      </c>
      <c r="BE235" s="137">
        <v>0</v>
      </c>
      <c r="BF235" s="137">
        <f>235</f>
        <v>235</v>
      </c>
      <c r="BH235" s="137">
        <f>K235*AO235</f>
        <v>0</v>
      </c>
      <c r="BI235" s="137">
        <f>K235*AP235</f>
        <v>0</v>
      </c>
      <c r="BJ235" s="137">
        <f>K235*L235</f>
        <v>0</v>
      </c>
      <c r="BK235" s="137" t="s">
        <v>442</v>
      </c>
      <c r="BL235" s="137">
        <v>762</v>
      </c>
    </row>
    <row r="236" spans="1:64" ht="14.65" customHeight="1">
      <c r="A236" s="130"/>
      <c r="D236" s="251" t="s">
        <v>1692</v>
      </c>
      <c r="E236" s="251"/>
      <c r="F236" s="251"/>
      <c r="G236" s="251"/>
      <c r="H236" s="251"/>
      <c r="I236" s="251"/>
      <c r="J236" s="251"/>
      <c r="K236" s="251"/>
      <c r="L236" s="251"/>
      <c r="M236" s="251"/>
      <c r="N236" s="251"/>
      <c r="O236" s="251"/>
      <c r="P236" s="130"/>
    </row>
    <row r="237" spans="1:64">
      <c r="A237" s="130"/>
      <c r="D237" s="157" t="s">
        <v>1691</v>
      </c>
      <c r="I237" s="156"/>
      <c r="K237" s="155">
        <v>2.6</v>
      </c>
      <c r="O237" s="154"/>
      <c r="P237" s="130"/>
    </row>
    <row r="238" spans="1:64">
      <c r="A238" s="142" t="s">
        <v>121</v>
      </c>
      <c r="B238" s="141" t="s">
        <v>1339</v>
      </c>
      <c r="C238" s="141" t="s">
        <v>1690</v>
      </c>
      <c r="D238" s="243" t="s">
        <v>1689</v>
      </c>
      <c r="E238" s="243"/>
      <c r="F238" s="243"/>
      <c r="G238" s="243"/>
      <c r="H238" s="243"/>
      <c r="I238" s="243"/>
      <c r="J238" s="141" t="s">
        <v>691</v>
      </c>
      <c r="K238" s="137">
        <v>1.99</v>
      </c>
      <c r="L238" s="203">
        <v>0</v>
      </c>
      <c r="M238" s="137">
        <f>K238*L238</f>
        <v>0</v>
      </c>
      <c r="N238" s="137">
        <v>1.6000000000000001E-4</v>
      </c>
      <c r="O238" s="140" t="s">
        <v>1340</v>
      </c>
      <c r="P238" s="130"/>
      <c r="Z238" s="137">
        <f>IF(AQ238="5",BJ238,0)</f>
        <v>0</v>
      </c>
      <c r="AB238" s="137">
        <f>IF(AQ238="1",BH238,0)</f>
        <v>0</v>
      </c>
      <c r="AC238" s="137">
        <f>IF(AQ238="1",BI238,0)</f>
        <v>0</v>
      </c>
      <c r="AD238" s="137">
        <f>IF(AQ238="7",BH238,0)</f>
        <v>0</v>
      </c>
      <c r="AE238" s="137">
        <f>IF(AQ238="7",BI238,0)</f>
        <v>0</v>
      </c>
      <c r="AF238" s="137">
        <f>IF(AQ238="2",BH238,0)</f>
        <v>0</v>
      </c>
      <c r="AG238" s="137">
        <f>IF(AQ238="2",BI238,0)</f>
        <v>0</v>
      </c>
      <c r="AH238" s="137">
        <f>IF(AQ238="0",BJ238,0)</f>
        <v>0</v>
      </c>
      <c r="AI238" s="138" t="s">
        <v>1339</v>
      </c>
      <c r="AJ238" s="137">
        <f>IF(AN238=0,M238,0)</f>
        <v>0</v>
      </c>
      <c r="AK238" s="137">
        <f>IF(AN238=15,M238,0)</f>
        <v>0</v>
      </c>
      <c r="AL238" s="137">
        <f>IF(AN238=21,M238,0)</f>
        <v>0</v>
      </c>
      <c r="AN238" s="137">
        <v>21</v>
      </c>
      <c r="AO238" s="137">
        <f>L238*0.0314705882352941</f>
        <v>0</v>
      </c>
      <c r="AP238" s="137">
        <f>L238*(1-0.0314705882352941)</f>
        <v>0</v>
      </c>
      <c r="AQ238" s="139" t="s">
        <v>352</v>
      </c>
      <c r="AV238" s="137">
        <f>AW238+AX238</f>
        <v>0</v>
      </c>
      <c r="AW238" s="137">
        <f>K238*AO238</f>
        <v>0</v>
      </c>
      <c r="AX238" s="137">
        <f>K238*AP238</f>
        <v>0</v>
      </c>
      <c r="AY238" s="139" t="s">
        <v>1668</v>
      </c>
      <c r="AZ238" s="139" t="s">
        <v>1551</v>
      </c>
      <c r="BA238" s="138" t="s">
        <v>1336</v>
      </c>
      <c r="BC238" s="137">
        <f>AW238+AX238</f>
        <v>0</v>
      </c>
      <c r="BD238" s="137">
        <f>L238/(100-BE238)*100</f>
        <v>0</v>
      </c>
      <c r="BE238" s="137">
        <v>0</v>
      </c>
      <c r="BF238" s="137">
        <f>238</f>
        <v>238</v>
      </c>
      <c r="BH238" s="137">
        <f>K238*AO238</f>
        <v>0</v>
      </c>
      <c r="BI238" s="137">
        <f>K238*AP238</f>
        <v>0</v>
      </c>
      <c r="BJ238" s="137">
        <f>K238*L238</f>
        <v>0</v>
      </c>
      <c r="BK238" s="137" t="s">
        <v>442</v>
      </c>
      <c r="BL238" s="137">
        <v>762</v>
      </c>
    </row>
    <row r="239" spans="1:64">
      <c r="A239" s="130"/>
      <c r="D239" s="157" t="s">
        <v>1688</v>
      </c>
      <c r="I239" s="156"/>
      <c r="K239" s="155">
        <v>1.99</v>
      </c>
      <c r="O239" s="154"/>
      <c r="P239" s="130"/>
    </row>
    <row r="240" spans="1:64">
      <c r="A240" s="142" t="s">
        <v>115</v>
      </c>
      <c r="B240" s="141" t="s">
        <v>1339</v>
      </c>
      <c r="C240" s="141" t="s">
        <v>1687</v>
      </c>
      <c r="D240" s="243" t="s">
        <v>1686</v>
      </c>
      <c r="E240" s="243"/>
      <c r="F240" s="243"/>
      <c r="G240" s="243"/>
      <c r="H240" s="243"/>
      <c r="I240" s="243"/>
      <c r="J240" s="141" t="s">
        <v>21</v>
      </c>
      <c r="K240" s="137">
        <v>5</v>
      </c>
      <c r="L240" s="203">
        <v>0</v>
      </c>
      <c r="M240" s="137">
        <f>K240*L240</f>
        <v>0</v>
      </c>
      <c r="N240" s="137">
        <v>1.3639999999999999E-2</v>
      </c>
      <c r="O240" s="140" t="s">
        <v>1340</v>
      </c>
      <c r="P240" s="130"/>
      <c r="Z240" s="137">
        <f>IF(AQ240="5",BJ240,0)</f>
        <v>0</v>
      </c>
      <c r="AB240" s="137">
        <f>IF(AQ240="1",BH240,0)</f>
        <v>0</v>
      </c>
      <c r="AC240" s="137">
        <f>IF(AQ240="1",BI240,0)</f>
        <v>0</v>
      </c>
      <c r="AD240" s="137">
        <f>IF(AQ240="7",BH240,0)</f>
        <v>0</v>
      </c>
      <c r="AE240" s="137">
        <f>IF(AQ240="7",BI240,0)</f>
        <v>0</v>
      </c>
      <c r="AF240" s="137">
        <f>IF(AQ240="2",BH240,0)</f>
        <v>0</v>
      </c>
      <c r="AG240" s="137">
        <f>IF(AQ240="2",BI240,0)</f>
        <v>0</v>
      </c>
      <c r="AH240" s="137">
        <f>IF(AQ240="0",BJ240,0)</f>
        <v>0</v>
      </c>
      <c r="AI240" s="138" t="s">
        <v>1339</v>
      </c>
      <c r="AJ240" s="137">
        <f>IF(AN240=0,M240,0)</f>
        <v>0</v>
      </c>
      <c r="AK240" s="137">
        <f>IF(AN240=15,M240,0)</f>
        <v>0</v>
      </c>
      <c r="AL240" s="137">
        <f>IF(AN240=21,M240,0)</f>
        <v>0</v>
      </c>
      <c r="AN240" s="137">
        <v>21</v>
      </c>
      <c r="AO240" s="137">
        <f>L240*0.536916058394161</f>
        <v>0</v>
      </c>
      <c r="AP240" s="137">
        <f>L240*(1-0.536916058394161)</f>
        <v>0</v>
      </c>
      <c r="AQ240" s="139" t="s">
        <v>352</v>
      </c>
      <c r="AV240" s="137">
        <f>AW240+AX240</f>
        <v>0</v>
      </c>
      <c r="AW240" s="137">
        <f>K240*AO240</f>
        <v>0</v>
      </c>
      <c r="AX240" s="137">
        <f>K240*AP240</f>
        <v>0</v>
      </c>
      <c r="AY240" s="139" t="s">
        <v>1668</v>
      </c>
      <c r="AZ240" s="139" t="s">
        <v>1551</v>
      </c>
      <c r="BA240" s="138" t="s">
        <v>1336</v>
      </c>
      <c r="BC240" s="137">
        <f>AW240+AX240</f>
        <v>0</v>
      </c>
      <c r="BD240" s="137">
        <f>L240/(100-BE240)*100</f>
        <v>0</v>
      </c>
      <c r="BE240" s="137">
        <v>0</v>
      </c>
      <c r="BF240" s="137">
        <f>240</f>
        <v>240</v>
      </c>
      <c r="BH240" s="137">
        <f>K240*AO240</f>
        <v>0</v>
      </c>
      <c r="BI240" s="137">
        <f>K240*AP240</f>
        <v>0</v>
      </c>
      <c r="BJ240" s="137">
        <f>K240*L240</f>
        <v>0</v>
      </c>
      <c r="BK240" s="137" t="s">
        <v>442</v>
      </c>
      <c r="BL240" s="137">
        <v>762</v>
      </c>
    </row>
    <row r="241" spans="1:64" ht="14.65" customHeight="1">
      <c r="A241" s="130"/>
      <c r="D241" s="251" t="s">
        <v>1685</v>
      </c>
      <c r="E241" s="251"/>
      <c r="F241" s="251"/>
      <c r="G241" s="251"/>
      <c r="H241" s="251"/>
      <c r="I241" s="251"/>
      <c r="J241" s="251"/>
      <c r="K241" s="251"/>
      <c r="L241" s="251"/>
      <c r="M241" s="251"/>
      <c r="N241" s="251"/>
      <c r="O241" s="251"/>
      <c r="P241" s="130"/>
    </row>
    <row r="242" spans="1:64">
      <c r="A242" s="130"/>
      <c r="D242" s="157" t="s">
        <v>1684</v>
      </c>
      <c r="I242" s="156"/>
      <c r="K242" s="155">
        <v>5</v>
      </c>
      <c r="O242" s="154"/>
      <c r="P242" s="130"/>
    </row>
    <row r="243" spans="1:64">
      <c r="A243" s="142" t="s">
        <v>109</v>
      </c>
      <c r="B243" s="141" t="s">
        <v>1339</v>
      </c>
      <c r="C243" s="141" t="s">
        <v>1683</v>
      </c>
      <c r="D243" s="243" t="s">
        <v>1682</v>
      </c>
      <c r="E243" s="243"/>
      <c r="F243" s="243"/>
      <c r="G243" s="243"/>
      <c r="H243" s="243"/>
      <c r="I243" s="243"/>
      <c r="J243" s="141" t="s">
        <v>1261</v>
      </c>
      <c r="K243" s="137">
        <v>0.6</v>
      </c>
      <c r="L243" s="203">
        <v>0</v>
      </c>
      <c r="M243" s="137">
        <f>K243*L243</f>
        <v>0</v>
      </c>
      <c r="N243" s="137">
        <v>2.3570000000000001E-2</v>
      </c>
      <c r="O243" s="140" t="s">
        <v>1340</v>
      </c>
      <c r="P243" s="130"/>
      <c r="Z243" s="137">
        <f>IF(AQ243="5",BJ243,0)</f>
        <v>0</v>
      </c>
      <c r="AB243" s="137">
        <f>IF(AQ243="1",BH243,0)</f>
        <v>0</v>
      </c>
      <c r="AC243" s="137">
        <f>IF(AQ243="1",BI243,0)</f>
        <v>0</v>
      </c>
      <c r="AD243" s="137">
        <f>IF(AQ243="7",BH243,0)</f>
        <v>0</v>
      </c>
      <c r="AE243" s="137">
        <f>IF(AQ243="7",BI243,0)</f>
        <v>0</v>
      </c>
      <c r="AF243" s="137">
        <f>IF(AQ243="2",BH243,0)</f>
        <v>0</v>
      </c>
      <c r="AG243" s="137">
        <f>IF(AQ243="2",BI243,0)</f>
        <v>0</v>
      </c>
      <c r="AH243" s="137">
        <f>IF(AQ243="0",BJ243,0)</f>
        <v>0</v>
      </c>
      <c r="AI243" s="138" t="s">
        <v>1339</v>
      </c>
      <c r="AJ243" s="137">
        <f>IF(AN243=0,M243,0)</f>
        <v>0</v>
      </c>
      <c r="AK243" s="137">
        <f>IF(AN243=15,M243,0)</f>
        <v>0</v>
      </c>
      <c r="AL243" s="137">
        <f>IF(AN243=21,M243,0)</f>
        <v>0</v>
      </c>
      <c r="AN243" s="137">
        <v>21</v>
      </c>
      <c r="AO243" s="137">
        <f>L243*1</f>
        <v>0</v>
      </c>
      <c r="AP243" s="137">
        <f>L243*(1-1)</f>
        <v>0</v>
      </c>
      <c r="AQ243" s="139" t="s">
        <v>352</v>
      </c>
      <c r="AV243" s="137">
        <f>AW243+AX243</f>
        <v>0</v>
      </c>
      <c r="AW243" s="137">
        <f>K243*AO243</f>
        <v>0</v>
      </c>
      <c r="AX243" s="137">
        <f>K243*AP243</f>
        <v>0</v>
      </c>
      <c r="AY243" s="139" t="s">
        <v>1668</v>
      </c>
      <c r="AZ243" s="139" t="s">
        <v>1551</v>
      </c>
      <c r="BA243" s="138" t="s">
        <v>1336</v>
      </c>
      <c r="BC243" s="137">
        <f>AW243+AX243</f>
        <v>0</v>
      </c>
      <c r="BD243" s="137">
        <f>L243/(100-BE243)*100</f>
        <v>0</v>
      </c>
      <c r="BE243" s="137">
        <v>0</v>
      </c>
      <c r="BF243" s="137">
        <f>243</f>
        <v>243</v>
      </c>
      <c r="BH243" s="137">
        <f>K243*AO243</f>
        <v>0</v>
      </c>
      <c r="BI243" s="137">
        <f>K243*AP243</f>
        <v>0</v>
      </c>
      <c r="BJ243" s="137">
        <f>K243*L243</f>
        <v>0</v>
      </c>
      <c r="BK243" s="137" t="s">
        <v>442</v>
      </c>
      <c r="BL243" s="137">
        <v>762</v>
      </c>
    </row>
    <row r="244" spans="1:64">
      <c r="A244" s="130"/>
      <c r="D244" s="157" t="s">
        <v>1681</v>
      </c>
      <c r="I244" s="156"/>
      <c r="K244" s="155">
        <v>0.6</v>
      </c>
      <c r="O244" s="154"/>
      <c r="P244" s="130"/>
    </row>
    <row r="245" spans="1:64">
      <c r="A245" s="142" t="s">
        <v>105</v>
      </c>
      <c r="B245" s="141" t="s">
        <v>1339</v>
      </c>
      <c r="C245" s="141" t="s">
        <v>1680</v>
      </c>
      <c r="D245" s="243" t="s">
        <v>1679</v>
      </c>
      <c r="E245" s="243"/>
      <c r="F245" s="243"/>
      <c r="G245" s="243"/>
      <c r="H245" s="243"/>
      <c r="I245" s="243"/>
      <c r="J245" s="141" t="s">
        <v>722</v>
      </c>
      <c r="K245" s="137">
        <v>7</v>
      </c>
      <c r="L245" s="203">
        <v>0</v>
      </c>
      <c r="M245" s="137">
        <f>K245*L245</f>
        <v>0</v>
      </c>
      <c r="N245" s="137">
        <v>0</v>
      </c>
      <c r="O245" s="140" t="s">
        <v>1340</v>
      </c>
      <c r="P245" s="130"/>
      <c r="Z245" s="137">
        <f>IF(AQ245="5",BJ245,0)</f>
        <v>0</v>
      </c>
      <c r="AB245" s="137">
        <f>IF(AQ245="1",BH245,0)</f>
        <v>0</v>
      </c>
      <c r="AC245" s="137">
        <f>IF(AQ245="1",BI245,0)</f>
        <v>0</v>
      </c>
      <c r="AD245" s="137">
        <f>IF(AQ245="7",BH245,0)</f>
        <v>0</v>
      </c>
      <c r="AE245" s="137">
        <f>IF(AQ245="7",BI245,0)</f>
        <v>0</v>
      </c>
      <c r="AF245" s="137">
        <f>IF(AQ245="2",BH245,0)</f>
        <v>0</v>
      </c>
      <c r="AG245" s="137">
        <f>IF(AQ245="2",BI245,0)</f>
        <v>0</v>
      </c>
      <c r="AH245" s="137">
        <f>IF(AQ245="0",BJ245,0)</f>
        <v>0</v>
      </c>
      <c r="AI245" s="138" t="s">
        <v>1339</v>
      </c>
      <c r="AJ245" s="137">
        <f>IF(AN245=0,M245,0)</f>
        <v>0</v>
      </c>
      <c r="AK245" s="137">
        <f>IF(AN245=15,M245,0)</f>
        <v>0</v>
      </c>
      <c r="AL245" s="137">
        <f>IF(AN245=21,M245,0)</f>
        <v>0</v>
      </c>
      <c r="AN245" s="137">
        <v>21</v>
      </c>
      <c r="AO245" s="137">
        <f>L245*0</f>
        <v>0</v>
      </c>
      <c r="AP245" s="137">
        <f>L245*(1-0)</f>
        <v>0</v>
      </c>
      <c r="AQ245" s="139" t="s">
        <v>352</v>
      </c>
      <c r="AV245" s="137">
        <f>AW245+AX245</f>
        <v>0</v>
      </c>
      <c r="AW245" s="137">
        <f>K245*AO245</f>
        <v>0</v>
      </c>
      <c r="AX245" s="137">
        <f>K245*AP245</f>
        <v>0</v>
      </c>
      <c r="AY245" s="139" t="s">
        <v>1668</v>
      </c>
      <c r="AZ245" s="139" t="s">
        <v>1551</v>
      </c>
      <c r="BA245" s="138" t="s">
        <v>1336</v>
      </c>
      <c r="BC245" s="137">
        <f>AW245+AX245</f>
        <v>0</v>
      </c>
      <c r="BD245" s="137">
        <f>L245/(100-BE245)*100</f>
        <v>0</v>
      </c>
      <c r="BE245" s="137">
        <v>0</v>
      </c>
      <c r="BF245" s="137">
        <f>245</f>
        <v>245</v>
      </c>
      <c r="BH245" s="137">
        <f>K245*AO245</f>
        <v>0</v>
      </c>
      <c r="BI245" s="137">
        <f>K245*AP245</f>
        <v>0</v>
      </c>
      <c r="BJ245" s="137">
        <f>K245*L245</f>
        <v>0</v>
      </c>
      <c r="BK245" s="137" t="s">
        <v>442</v>
      </c>
      <c r="BL245" s="137">
        <v>762</v>
      </c>
    </row>
    <row r="246" spans="1:64" ht="14.65" customHeight="1">
      <c r="A246" s="130"/>
      <c r="D246" s="251" t="s">
        <v>1678</v>
      </c>
      <c r="E246" s="251"/>
      <c r="F246" s="251"/>
      <c r="G246" s="251"/>
      <c r="H246" s="251"/>
      <c r="I246" s="251"/>
      <c r="J246" s="251"/>
      <c r="K246" s="251"/>
      <c r="L246" s="251"/>
      <c r="M246" s="251"/>
      <c r="N246" s="251"/>
      <c r="O246" s="251"/>
      <c r="P246" s="130"/>
    </row>
    <row r="247" spans="1:64">
      <c r="A247" s="130"/>
      <c r="D247" s="157" t="s">
        <v>352</v>
      </c>
      <c r="I247" s="156"/>
      <c r="K247" s="155">
        <v>7</v>
      </c>
      <c r="O247" s="154"/>
      <c r="P247" s="130"/>
    </row>
    <row r="248" spans="1:64">
      <c r="A248" s="142" t="s">
        <v>101</v>
      </c>
      <c r="B248" s="141" t="s">
        <v>1339</v>
      </c>
      <c r="C248" s="141" t="s">
        <v>1677</v>
      </c>
      <c r="D248" s="243" t="s">
        <v>1676</v>
      </c>
      <c r="E248" s="243"/>
      <c r="F248" s="243"/>
      <c r="G248" s="243"/>
      <c r="H248" s="243"/>
      <c r="I248" s="243"/>
      <c r="J248" s="141" t="s">
        <v>691</v>
      </c>
      <c r="K248" s="137">
        <v>20</v>
      </c>
      <c r="L248" s="203">
        <v>0</v>
      </c>
      <c r="M248" s="137">
        <f>K248*L248</f>
        <v>0</v>
      </c>
      <c r="N248" s="137">
        <v>1.0000000000000001E-5</v>
      </c>
      <c r="O248" s="140" t="s">
        <v>1340</v>
      </c>
      <c r="P248" s="130"/>
      <c r="Z248" s="137">
        <f>IF(AQ248="5",BJ248,0)</f>
        <v>0</v>
      </c>
      <c r="AB248" s="137">
        <f>IF(AQ248="1",BH248,0)</f>
        <v>0</v>
      </c>
      <c r="AC248" s="137">
        <f>IF(AQ248="1",BI248,0)</f>
        <v>0</v>
      </c>
      <c r="AD248" s="137">
        <f>IF(AQ248="7",BH248,0)</f>
        <v>0</v>
      </c>
      <c r="AE248" s="137">
        <f>IF(AQ248="7",BI248,0)</f>
        <v>0</v>
      </c>
      <c r="AF248" s="137">
        <f>IF(AQ248="2",BH248,0)</f>
        <v>0</v>
      </c>
      <c r="AG248" s="137">
        <f>IF(AQ248="2",BI248,0)</f>
        <v>0</v>
      </c>
      <c r="AH248" s="137">
        <f>IF(AQ248="0",BJ248,0)</f>
        <v>0</v>
      </c>
      <c r="AI248" s="138" t="s">
        <v>1339</v>
      </c>
      <c r="AJ248" s="137">
        <f>IF(AN248=0,M248,0)</f>
        <v>0</v>
      </c>
      <c r="AK248" s="137">
        <f>IF(AN248=15,M248,0)</f>
        <v>0</v>
      </c>
      <c r="AL248" s="137">
        <f>IF(AN248=21,M248,0)</f>
        <v>0</v>
      </c>
      <c r="AN248" s="137">
        <v>21</v>
      </c>
      <c r="AO248" s="137">
        <f>L248*0.00952719095804485</f>
        <v>0</v>
      </c>
      <c r="AP248" s="137">
        <f>L248*(1-0.00952719095804485)</f>
        <v>0</v>
      </c>
      <c r="AQ248" s="139" t="s">
        <v>352</v>
      </c>
      <c r="AV248" s="137">
        <f>AW248+AX248</f>
        <v>0</v>
      </c>
      <c r="AW248" s="137">
        <f>K248*AO248</f>
        <v>0</v>
      </c>
      <c r="AX248" s="137">
        <f>K248*AP248</f>
        <v>0</v>
      </c>
      <c r="AY248" s="139" t="s">
        <v>1668</v>
      </c>
      <c r="AZ248" s="139" t="s">
        <v>1551</v>
      </c>
      <c r="BA248" s="138" t="s">
        <v>1336</v>
      </c>
      <c r="BC248" s="137">
        <f>AW248+AX248</f>
        <v>0</v>
      </c>
      <c r="BD248" s="137">
        <f>L248/(100-BE248)*100</f>
        <v>0</v>
      </c>
      <c r="BE248" s="137">
        <v>0</v>
      </c>
      <c r="BF248" s="137">
        <f>248</f>
        <v>248</v>
      </c>
      <c r="BH248" s="137">
        <f>K248*AO248</f>
        <v>0</v>
      </c>
      <c r="BI248" s="137">
        <f>K248*AP248</f>
        <v>0</v>
      </c>
      <c r="BJ248" s="137">
        <f>K248*L248</f>
        <v>0</v>
      </c>
      <c r="BK248" s="137" t="s">
        <v>442</v>
      </c>
      <c r="BL248" s="137">
        <v>762</v>
      </c>
    </row>
    <row r="249" spans="1:64">
      <c r="A249" s="130"/>
      <c r="D249" s="157" t="s">
        <v>1675</v>
      </c>
      <c r="I249" s="156"/>
      <c r="K249" s="155">
        <v>20</v>
      </c>
      <c r="O249" s="154"/>
      <c r="P249" s="130"/>
    </row>
    <row r="250" spans="1:64">
      <c r="A250" s="142" t="s">
        <v>97</v>
      </c>
      <c r="B250" s="141" t="s">
        <v>1339</v>
      </c>
      <c r="C250" s="141" t="s">
        <v>1674</v>
      </c>
      <c r="D250" s="243" t="s">
        <v>1673</v>
      </c>
      <c r="E250" s="243"/>
      <c r="F250" s="243"/>
      <c r="G250" s="243"/>
      <c r="H250" s="243"/>
      <c r="I250" s="243"/>
      <c r="J250" s="141" t="s">
        <v>691</v>
      </c>
      <c r="K250" s="137">
        <v>21</v>
      </c>
      <c r="L250" s="203">
        <v>0</v>
      </c>
      <c r="M250" s="137">
        <f>K250*L250</f>
        <v>0</v>
      </c>
      <c r="N250" s="137">
        <v>1.3899999999999999E-2</v>
      </c>
      <c r="O250" s="140" t="s">
        <v>1340</v>
      </c>
      <c r="P250" s="130"/>
      <c r="Z250" s="137">
        <f>IF(AQ250="5",BJ250,0)</f>
        <v>0</v>
      </c>
      <c r="AB250" s="137">
        <f>IF(AQ250="1",BH250,0)</f>
        <v>0</v>
      </c>
      <c r="AC250" s="137">
        <f>IF(AQ250="1",BI250,0)</f>
        <v>0</v>
      </c>
      <c r="AD250" s="137">
        <f>IF(AQ250="7",BH250,0)</f>
        <v>0</v>
      </c>
      <c r="AE250" s="137">
        <f>IF(AQ250="7",BI250,0)</f>
        <v>0</v>
      </c>
      <c r="AF250" s="137">
        <f>IF(AQ250="2",BH250,0)</f>
        <v>0</v>
      </c>
      <c r="AG250" s="137">
        <f>IF(AQ250="2",BI250,0)</f>
        <v>0</v>
      </c>
      <c r="AH250" s="137">
        <f>IF(AQ250="0",BJ250,0)</f>
        <v>0</v>
      </c>
      <c r="AI250" s="138" t="s">
        <v>1339</v>
      </c>
      <c r="AJ250" s="137">
        <f>IF(AN250=0,M250,0)</f>
        <v>0</v>
      </c>
      <c r="AK250" s="137">
        <f>IF(AN250=15,M250,0)</f>
        <v>0</v>
      </c>
      <c r="AL250" s="137">
        <f>IF(AN250=21,M250,0)</f>
        <v>0</v>
      </c>
      <c r="AN250" s="137">
        <v>21</v>
      </c>
      <c r="AO250" s="137">
        <f>L250*1</f>
        <v>0</v>
      </c>
      <c r="AP250" s="137">
        <f>L250*(1-1)</f>
        <v>0</v>
      </c>
      <c r="AQ250" s="139" t="s">
        <v>352</v>
      </c>
      <c r="AV250" s="137">
        <f>AW250+AX250</f>
        <v>0</v>
      </c>
      <c r="AW250" s="137">
        <f>K250*AO250</f>
        <v>0</v>
      </c>
      <c r="AX250" s="137">
        <f>K250*AP250</f>
        <v>0</v>
      </c>
      <c r="AY250" s="139" t="s">
        <v>1668</v>
      </c>
      <c r="AZ250" s="139" t="s">
        <v>1551</v>
      </c>
      <c r="BA250" s="138" t="s">
        <v>1336</v>
      </c>
      <c r="BC250" s="137">
        <f>AW250+AX250</f>
        <v>0</v>
      </c>
      <c r="BD250" s="137">
        <f>L250/(100-BE250)*100</f>
        <v>0</v>
      </c>
      <c r="BE250" s="137">
        <v>0</v>
      </c>
      <c r="BF250" s="137">
        <f>250</f>
        <v>250</v>
      </c>
      <c r="BH250" s="137">
        <f>K250*AO250</f>
        <v>0</v>
      </c>
      <c r="BI250" s="137">
        <f>K250*AP250</f>
        <v>0</v>
      </c>
      <c r="BJ250" s="137">
        <f>K250*L250</f>
        <v>0</v>
      </c>
      <c r="BK250" s="137" t="s">
        <v>750</v>
      </c>
      <c r="BL250" s="137">
        <v>762</v>
      </c>
    </row>
    <row r="251" spans="1:64">
      <c r="A251" s="130"/>
      <c r="D251" s="157" t="s">
        <v>1672</v>
      </c>
      <c r="I251" s="156"/>
      <c r="K251" s="155">
        <v>20</v>
      </c>
      <c r="O251" s="154"/>
      <c r="P251" s="130"/>
    </row>
    <row r="252" spans="1:64">
      <c r="A252" s="130"/>
      <c r="D252" s="157" t="s">
        <v>1671</v>
      </c>
      <c r="I252" s="156"/>
      <c r="K252" s="155">
        <v>1</v>
      </c>
      <c r="O252" s="154"/>
      <c r="P252" s="130"/>
    </row>
    <row r="253" spans="1:64">
      <c r="A253" s="142" t="s">
        <v>93</v>
      </c>
      <c r="B253" s="141" t="s">
        <v>1339</v>
      </c>
      <c r="C253" s="141" t="s">
        <v>1670</v>
      </c>
      <c r="D253" s="243" t="s">
        <v>1669</v>
      </c>
      <c r="E253" s="243"/>
      <c r="F253" s="243"/>
      <c r="G253" s="243"/>
      <c r="H253" s="243"/>
      <c r="I253" s="243"/>
      <c r="J253" s="141" t="s">
        <v>735</v>
      </c>
      <c r="K253" s="137">
        <v>0.49885000000000002</v>
      </c>
      <c r="L253" s="203">
        <v>0</v>
      </c>
      <c r="M253" s="137">
        <f>K253*L253</f>
        <v>0</v>
      </c>
      <c r="N253" s="137">
        <v>0</v>
      </c>
      <c r="O253" s="140" t="s">
        <v>1340</v>
      </c>
      <c r="P253" s="130"/>
      <c r="Z253" s="137">
        <f>IF(AQ253="5",BJ253,0)</f>
        <v>0</v>
      </c>
      <c r="AB253" s="137">
        <f>IF(AQ253="1",BH253,0)</f>
        <v>0</v>
      </c>
      <c r="AC253" s="137">
        <f>IF(AQ253="1",BI253,0)</f>
        <v>0</v>
      </c>
      <c r="AD253" s="137">
        <f>IF(AQ253="7",BH253,0)</f>
        <v>0</v>
      </c>
      <c r="AE253" s="137">
        <f>IF(AQ253="7",BI253,0)</f>
        <v>0</v>
      </c>
      <c r="AF253" s="137">
        <f>IF(AQ253="2",BH253,0)</f>
        <v>0</v>
      </c>
      <c r="AG253" s="137">
        <f>IF(AQ253="2",BI253,0)</f>
        <v>0</v>
      </c>
      <c r="AH253" s="137">
        <f>IF(AQ253="0",BJ253,0)</f>
        <v>0</v>
      </c>
      <c r="AI253" s="138" t="s">
        <v>1339</v>
      </c>
      <c r="AJ253" s="137">
        <f>IF(AN253=0,M253,0)</f>
        <v>0</v>
      </c>
      <c r="AK253" s="137">
        <f>IF(AN253=15,M253,0)</f>
        <v>0</v>
      </c>
      <c r="AL253" s="137">
        <f>IF(AN253=21,M253,0)</f>
        <v>0</v>
      </c>
      <c r="AN253" s="137">
        <v>21</v>
      </c>
      <c r="AO253" s="137">
        <f>L253*0</f>
        <v>0</v>
      </c>
      <c r="AP253" s="137">
        <f>L253*(1-0)</f>
        <v>0</v>
      </c>
      <c r="AQ253" s="139" t="s">
        <v>357</v>
      </c>
      <c r="AV253" s="137">
        <f>AW253+AX253</f>
        <v>0</v>
      </c>
      <c r="AW253" s="137">
        <f>K253*AO253</f>
        <v>0</v>
      </c>
      <c r="AX253" s="137">
        <f>K253*AP253</f>
        <v>0</v>
      </c>
      <c r="AY253" s="139" t="s">
        <v>1668</v>
      </c>
      <c r="AZ253" s="139" t="s">
        <v>1551</v>
      </c>
      <c r="BA253" s="138" t="s">
        <v>1336</v>
      </c>
      <c r="BC253" s="137">
        <f>AW253+AX253</f>
        <v>0</v>
      </c>
      <c r="BD253" s="137">
        <f>L253/(100-BE253)*100</f>
        <v>0</v>
      </c>
      <c r="BE253" s="137">
        <v>0</v>
      </c>
      <c r="BF253" s="137">
        <f>253</f>
        <v>253</v>
      </c>
      <c r="BH253" s="137">
        <f>K253*AO253</f>
        <v>0</v>
      </c>
      <c r="BI253" s="137">
        <f>K253*AP253</f>
        <v>0</v>
      </c>
      <c r="BJ253" s="137">
        <f>K253*L253</f>
        <v>0</v>
      </c>
      <c r="BK253" s="137" t="s">
        <v>442</v>
      </c>
      <c r="BL253" s="137">
        <v>762</v>
      </c>
    </row>
    <row r="254" spans="1:64">
      <c r="A254" s="147"/>
      <c r="B254" s="146" t="s">
        <v>1339</v>
      </c>
      <c r="C254" s="146" t="s">
        <v>1667</v>
      </c>
      <c r="D254" s="252" t="s">
        <v>1666</v>
      </c>
      <c r="E254" s="252"/>
      <c r="F254" s="252"/>
      <c r="G254" s="252"/>
      <c r="H254" s="252"/>
      <c r="I254" s="252"/>
      <c r="J254" s="145" t="s">
        <v>1305</v>
      </c>
      <c r="K254" s="145" t="s">
        <v>1305</v>
      </c>
      <c r="L254" s="145" t="s">
        <v>1305</v>
      </c>
      <c r="M254" s="143">
        <f>SUM(M255:M269)</f>
        <v>0</v>
      </c>
      <c r="N254" s="138"/>
      <c r="O254" s="144"/>
      <c r="P254" s="130"/>
      <c r="AI254" s="138" t="s">
        <v>1339</v>
      </c>
      <c r="AS254" s="143">
        <f>SUM(AJ255:AJ269)</f>
        <v>0</v>
      </c>
      <c r="AT254" s="143">
        <f>SUM(AK255:AK269)</f>
        <v>0</v>
      </c>
      <c r="AU254" s="143">
        <f>SUM(AL255:AL269)</f>
        <v>0</v>
      </c>
    </row>
    <row r="255" spans="1:64">
      <c r="A255" s="142" t="s">
        <v>89</v>
      </c>
      <c r="B255" s="141" t="s">
        <v>1339</v>
      </c>
      <c r="C255" s="141" t="s">
        <v>1665</v>
      </c>
      <c r="D255" s="243" t="s">
        <v>1664</v>
      </c>
      <c r="E255" s="243"/>
      <c r="F255" s="243"/>
      <c r="G255" s="243"/>
      <c r="H255" s="243"/>
      <c r="I255" s="243"/>
      <c r="J255" s="141" t="s">
        <v>691</v>
      </c>
      <c r="K255" s="137">
        <v>4.5</v>
      </c>
      <c r="L255" s="203">
        <v>0</v>
      </c>
      <c r="M255" s="137">
        <f>K255*L255</f>
        <v>0</v>
      </c>
      <c r="N255" s="137">
        <v>0</v>
      </c>
      <c r="O255" s="140" t="s">
        <v>1340</v>
      </c>
      <c r="P255" s="130"/>
      <c r="Z255" s="137">
        <f>IF(AQ255="5",BJ255,0)</f>
        <v>0</v>
      </c>
      <c r="AB255" s="137">
        <f>IF(AQ255="1",BH255,0)</f>
        <v>0</v>
      </c>
      <c r="AC255" s="137">
        <f>IF(AQ255="1",BI255,0)</f>
        <v>0</v>
      </c>
      <c r="AD255" s="137">
        <f>IF(AQ255="7",BH255,0)</f>
        <v>0</v>
      </c>
      <c r="AE255" s="137">
        <f>IF(AQ255="7",BI255,0)</f>
        <v>0</v>
      </c>
      <c r="AF255" s="137">
        <f>IF(AQ255="2",BH255,0)</f>
        <v>0</v>
      </c>
      <c r="AG255" s="137">
        <f>IF(AQ255="2",BI255,0)</f>
        <v>0</v>
      </c>
      <c r="AH255" s="137">
        <f>IF(AQ255="0",BJ255,0)</f>
        <v>0</v>
      </c>
      <c r="AI255" s="138" t="s">
        <v>1339</v>
      </c>
      <c r="AJ255" s="137">
        <f>IF(AN255=0,M255,0)</f>
        <v>0</v>
      </c>
      <c r="AK255" s="137">
        <f>IF(AN255=15,M255,0)</f>
        <v>0</v>
      </c>
      <c r="AL255" s="137">
        <f>IF(AN255=21,M255,0)</f>
        <v>0</v>
      </c>
      <c r="AN255" s="137">
        <v>21</v>
      </c>
      <c r="AO255" s="137">
        <f>L255*0</f>
        <v>0</v>
      </c>
      <c r="AP255" s="137">
        <f>L255*(1-0)</f>
        <v>0</v>
      </c>
      <c r="AQ255" s="139" t="s">
        <v>352</v>
      </c>
      <c r="AV255" s="137">
        <f>AW255+AX255</f>
        <v>0</v>
      </c>
      <c r="AW255" s="137">
        <f>K255*AO255</f>
        <v>0</v>
      </c>
      <c r="AX255" s="137">
        <f>K255*AP255</f>
        <v>0</v>
      </c>
      <c r="AY255" s="139" t="s">
        <v>1645</v>
      </c>
      <c r="AZ255" s="139" t="s">
        <v>1551</v>
      </c>
      <c r="BA255" s="138" t="s">
        <v>1336</v>
      </c>
      <c r="BC255" s="137">
        <f>AW255+AX255</f>
        <v>0</v>
      </c>
      <c r="BD255" s="137">
        <f>L255/(100-BE255)*100</f>
        <v>0</v>
      </c>
      <c r="BE255" s="137">
        <v>0</v>
      </c>
      <c r="BF255" s="137">
        <f>255</f>
        <v>255</v>
      </c>
      <c r="BH255" s="137">
        <f>K255*AO255</f>
        <v>0</v>
      </c>
      <c r="BI255" s="137">
        <f>K255*AP255</f>
        <v>0</v>
      </c>
      <c r="BJ255" s="137">
        <f>K255*L255</f>
        <v>0</v>
      </c>
      <c r="BK255" s="137" t="s">
        <v>442</v>
      </c>
      <c r="BL255" s="137">
        <v>764</v>
      </c>
    </row>
    <row r="256" spans="1:64">
      <c r="A256" s="130"/>
      <c r="D256" s="157" t="s">
        <v>1663</v>
      </c>
      <c r="I256" s="156"/>
      <c r="K256" s="155">
        <v>4.5</v>
      </c>
      <c r="O256" s="154"/>
      <c r="P256" s="130"/>
    </row>
    <row r="257" spans="1:64">
      <c r="A257" s="142" t="s">
        <v>85</v>
      </c>
      <c r="B257" s="141" t="s">
        <v>1339</v>
      </c>
      <c r="C257" s="141" t="s">
        <v>1662</v>
      </c>
      <c r="D257" s="243" t="s">
        <v>1661</v>
      </c>
      <c r="E257" s="243"/>
      <c r="F257" s="243"/>
      <c r="G257" s="243"/>
      <c r="H257" s="243"/>
      <c r="I257" s="243"/>
      <c r="J257" s="141" t="s">
        <v>691</v>
      </c>
      <c r="K257" s="137">
        <v>10</v>
      </c>
      <c r="L257" s="203">
        <v>0</v>
      </c>
      <c r="M257" s="137">
        <f>K257*L257</f>
        <v>0</v>
      </c>
      <c r="N257" s="137">
        <v>0</v>
      </c>
      <c r="O257" s="140" t="s">
        <v>1340</v>
      </c>
      <c r="P257" s="130"/>
      <c r="Z257" s="137">
        <f>IF(AQ257="5",BJ257,0)</f>
        <v>0</v>
      </c>
      <c r="AB257" s="137">
        <f>IF(AQ257="1",BH257,0)</f>
        <v>0</v>
      </c>
      <c r="AC257" s="137">
        <f>IF(AQ257="1",BI257,0)</f>
        <v>0</v>
      </c>
      <c r="AD257" s="137">
        <f>IF(AQ257="7",BH257,0)</f>
        <v>0</v>
      </c>
      <c r="AE257" s="137">
        <f>IF(AQ257="7",BI257,0)</f>
        <v>0</v>
      </c>
      <c r="AF257" s="137">
        <f>IF(AQ257="2",BH257,0)</f>
        <v>0</v>
      </c>
      <c r="AG257" s="137">
        <f>IF(AQ257="2",BI257,0)</f>
        <v>0</v>
      </c>
      <c r="AH257" s="137">
        <f>IF(AQ257="0",BJ257,0)</f>
        <v>0</v>
      </c>
      <c r="AI257" s="138" t="s">
        <v>1339</v>
      </c>
      <c r="AJ257" s="137">
        <f>IF(AN257=0,M257,0)</f>
        <v>0</v>
      </c>
      <c r="AK257" s="137">
        <f>IF(AN257=15,M257,0)</f>
        <v>0</v>
      </c>
      <c r="AL257" s="137">
        <f>IF(AN257=21,M257,0)</f>
        <v>0</v>
      </c>
      <c r="AN257" s="137">
        <v>21</v>
      </c>
      <c r="AO257" s="137">
        <f>L257*0</f>
        <v>0</v>
      </c>
      <c r="AP257" s="137">
        <f>L257*(1-0)</f>
        <v>0</v>
      </c>
      <c r="AQ257" s="139" t="s">
        <v>352</v>
      </c>
      <c r="AV257" s="137">
        <f>AW257+AX257</f>
        <v>0</v>
      </c>
      <c r="AW257" s="137">
        <f>K257*AO257</f>
        <v>0</v>
      </c>
      <c r="AX257" s="137">
        <f>K257*AP257</f>
        <v>0</v>
      </c>
      <c r="AY257" s="139" t="s">
        <v>1645</v>
      </c>
      <c r="AZ257" s="139" t="s">
        <v>1551</v>
      </c>
      <c r="BA257" s="138" t="s">
        <v>1336</v>
      </c>
      <c r="BC257" s="137">
        <f>AW257+AX257</f>
        <v>0</v>
      </c>
      <c r="BD257" s="137">
        <f>L257/(100-BE257)*100</f>
        <v>0</v>
      </c>
      <c r="BE257" s="137">
        <v>0</v>
      </c>
      <c r="BF257" s="137">
        <f>257</f>
        <v>257</v>
      </c>
      <c r="BH257" s="137">
        <f>K257*AO257</f>
        <v>0</v>
      </c>
      <c r="BI257" s="137">
        <f>K257*AP257</f>
        <v>0</v>
      </c>
      <c r="BJ257" s="137">
        <f>K257*L257</f>
        <v>0</v>
      </c>
      <c r="BK257" s="137" t="s">
        <v>442</v>
      </c>
      <c r="BL257" s="137">
        <v>764</v>
      </c>
    </row>
    <row r="258" spans="1:64">
      <c r="A258" s="130"/>
      <c r="D258" s="157" t="s">
        <v>344</v>
      </c>
      <c r="I258" s="156"/>
      <c r="K258" s="155">
        <v>10</v>
      </c>
      <c r="O258" s="154"/>
      <c r="P258" s="130"/>
    </row>
    <row r="259" spans="1:64">
      <c r="A259" s="142" t="s">
        <v>81</v>
      </c>
      <c r="B259" s="141" t="s">
        <v>1339</v>
      </c>
      <c r="C259" s="141" t="s">
        <v>1660</v>
      </c>
      <c r="D259" s="243" t="s">
        <v>1659</v>
      </c>
      <c r="E259" s="243"/>
      <c r="F259" s="243"/>
      <c r="G259" s="243"/>
      <c r="H259" s="243"/>
      <c r="I259" s="243"/>
      <c r="J259" s="141" t="s">
        <v>691</v>
      </c>
      <c r="K259" s="137">
        <v>4.5</v>
      </c>
      <c r="L259" s="203">
        <v>0</v>
      </c>
      <c r="M259" s="137">
        <f>K259*L259</f>
        <v>0</v>
      </c>
      <c r="N259" s="137">
        <v>1.321E-2</v>
      </c>
      <c r="O259" s="140" t="s">
        <v>1340</v>
      </c>
      <c r="P259" s="130"/>
      <c r="Z259" s="137">
        <f>IF(AQ259="5",BJ259,0)</f>
        <v>0</v>
      </c>
      <c r="AB259" s="137">
        <f>IF(AQ259="1",BH259,0)</f>
        <v>0</v>
      </c>
      <c r="AC259" s="137">
        <f>IF(AQ259="1",BI259,0)</f>
        <v>0</v>
      </c>
      <c r="AD259" s="137">
        <f>IF(AQ259="7",BH259,0)</f>
        <v>0</v>
      </c>
      <c r="AE259" s="137">
        <f>IF(AQ259="7",BI259,0)</f>
        <v>0</v>
      </c>
      <c r="AF259" s="137">
        <f>IF(AQ259="2",BH259,0)</f>
        <v>0</v>
      </c>
      <c r="AG259" s="137">
        <f>IF(AQ259="2",BI259,0)</f>
        <v>0</v>
      </c>
      <c r="AH259" s="137">
        <f>IF(AQ259="0",BJ259,0)</f>
        <v>0</v>
      </c>
      <c r="AI259" s="138" t="s">
        <v>1339</v>
      </c>
      <c r="AJ259" s="137">
        <f>IF(AN259=0,M259,0)</f>
        <v>0</v>
      </c>
      <c r="AK259" s="137">
        <f>IF(AN259=15,M259,0)</f>
        <v>0</v>
      </c>
      <c r="AL259" s="137">
        <f>IF(AN259=21,M259,0)</f>
        <v>0</v>
      </c>
      <c r="AN259" s="137">
        <v>21</v>
      </c>
      <c r="AO259" s="137">
        <f>L259*0.159403341288783</f>
        <v>0</v>
      </c>
      <c r="AP259" s="137">
        <f>L259*(1-0.159403341288783)</f>
        <v>0</v>
      </c>
      <c r="AQ259" s="139" t="s">
        <v>352</v>
      </c>
      <c r="AV259" s="137">
        <f>AW259+AX259</f>
        <v>0</v>
      </c>
      <c r="AW259" s="137">
        <f>K259*AO259</f>
        <v>0</v>
      </c>
      <c r="AX259" s="137">
        <f>K259*AP259</f>
        <v>0</v>
      </c>
      <c r="AY259" s="139" t="s">
        <v>1645</v>
      </c>
      <c r="AZ259" s="139" t="s">
        <v>1551</v>
      </c>
      <c r="BA259" s="138" t="s">
        <v>1336</v>
      </c>
      <c r="BC259" s="137">
        <f>AW259+AX259</f>
        <v>0</v>
      </c>
      <c r="BD259" s="137">
        <f>L259/(100-BE259)*100</f>
        <v>0</v>
      </c>
      <c r="BE259" s="137">
        <v>0</v>
      </c>
      <c r="BF259" s="137">
        <f>259</f>
        <v>259</v>
      </c>
      <c r="BH259" s="137">
        <f>K259*AO259</f>
        <v>0</v>
      </c>
      <c r="BI259" s="137">
        <f>K259*AP259</f>
        <v>0</v>
      </c>
      <c r="BJ259" s="137">
        <f>K259*L259</f>
        <v>0</v>
      </c>
      <c r="BK259" s="137" t="s">
        <v>442</v>
      </c>
      <c r="BL259" s="137">
        <v>764</v>
      </c>
    </row>
    <row r="260" spans="1:64">
      <c r="A260" s="130"/>
      <c r="D260" s="157" t="s">
        <v>1658</v>
      </c>
      <c r="I260" s="156"/>
      <c r="K260" s="155">
        <v>4.5</v>
      </c>
      <c r="O260" s="154"/>
      <c r="P260" s="130"/>
    </row>
    <row r="261" spans="1:64">
      <c r="A261" s="142" t="s">
        <v>77</v>
      </c>
      <c r="B261" s="141" t="s">
        <v>1339</v>
      </c>
      <c r="C261" s="141" t="s">
        <v>1657</v>
      </c>
      <c r="D261" s="243" t="s">
        <v>1656</v>
      </c>
      <c r="E261" s="243"/>
      <c r="F261" s="243"/>
      <c r="G261" s="243"/>
      <c r="H261" s="243"/>
      <c r="I261" s="243"/>
      <c r="J261" s="141" t="s">
        <v>691</v>
      </c>
      <c r="K261" s="137">
        <v>6</v>
      </c>
      <c r="L261" s="203">
        <v>0</v>
      </c>
      <c r="M261" s="137">
        <f>K261*L261</f>
        <v>0</v>
      </c>
      <c r="N261" s="137">
        <v>0</v>
      </c>
      <c r="O261" s="140" t="s">
        <v>1340</v>
      </c>
      <c r="P261" s="130"/>
      <c r="Z261" s="137">
        <f>IF(AQ261="5",BJ261,0)</f>
        <v>0</v>
      </c>
      <c r="AB261" s="137">
        <f>IF(AQ261="1",BH261,0)</f>
        <v>0</v>
      </c>
      <c r="AC261" s="137">
        <f>IF(AQ261="1",BI261,0)</f>
        <v>0</v>
      </c>
      <c r="AD261" s="137">
        <f>IF(AQ261="7",BH261,0)</f>
        <v>0</v>
      </c>
      <c r="AE261" s="137">
        <f>IF(AQ261="7",BI261,0)</f>
        <v>0</v>
      </c>
      <c r="AF261" s="137">
        <f>IF(AQ261="2",BH261,0)</f>
        <v>0</v>
      </c>
      <c r="AG261" s="137">
        <f>IF(AQ261="2",BI261,0)</f>
        <v>0</v>
      </c>
      <c r="AH261" s="137">
        <f>IF(AQ261="0",BJ261,0)</f>
        <v>0</v>
      </c>
      <c r="AI261" s="138" t="s">
        <v>1339</v>
      </c>
      <c r="AJ261" s="137">
        <f>IF(AN261=0,M261,0)</f>
        <v>0</v>
      </c>
      <c r="AK261" s="137">
        <f>IF(AN261=15,M261,0)</f>
        <v>0</v>
      </c>
      <c r="AL261" s="137">
        <f>IF(AN261=21,M261,0)</f>
        <v>0</v>
      </c>
      <c r="AN261" s="137">
        <v>21</v>
      </c>
      <c r="AO261" s="137">
        <f>L261*0</f>
        <v>0</v>
      </c>
      <c r="AP261" s="137">
        <f>L261*(1-0)</f>
        <v>0</v>
      </c>
      <c r="AQ261" s="139" t="s">
        <v>352</v>
      </c>
      <c r="AV261" s="137">
        <f>AW261+AX261</f>
        <v>0</v>
      </c>
      <c r="AW261" s="137">
        <f>K261*AO261</f>
        <v>0</v>
      </c>
      <c r="AX261" s="137">
        <f>K261*AP261</f>
        <v>0</v>
      </c>
      <c r="AY261" s="139" t="s">
        <v>1645</v>
      </c>
      <c r="AZ261" s="139" t="s">
        <v>1551</v>
      </c>
      <c r="BA261" s="138" t="s">
        <v>1336</v>
      </c>
      <c r="BC261" s="137">
        <f>AW261+AX261</f>
        <v>0</v>
      </c>
      <c r="BD261" s="137">
        <f>L261/(100-BE261)*100</f>
        <v>0</v>
      </c>
      <c r="BE261" s="137">
        <v>0</v>
      </c>
      <c r="BF261" s="137">
        <f>261</f>
        <v>261</v>
      </c>
      <c r="BH261" s="137">
        <f>K261*AO261</f>
        <v>0</v>
      </c>
      <c r="BI261" s="137">
        <f>K261*AP261</f>
        <v>0</v>
      </c>
      <c r="BJ261" s="137">
        <f>K261*L261</f>
        <v>0</v>
      </c>
      <c r="BK261" s="137" t="s">
        <v>442</v>
      </c>
      <c r="BL261" s="137">
        <v>764</v>
      </c>
    </row>
    <row r="262" spans="1:64">
      <c r="A262" s="130"/>
      <c r="D262" s="157" t="s">
        <v>1655</v>
      </c>
      <c r="I262" s="156"/>
      <c r="K262" s="155">
        <v>6</v>
      </c>
      <c r="O262" s="154"/>
      <c r="P262" s="130"/>
    </row>
    <row r="263" spans="1:64">
      <c r="A263" s="142" t="s">
        <v>73</v>
      </c>
      <c r="B263" s="141" t="s">
        <v>1339</v>
      </c>
      <c r="C263" s="141" t="s">
        <v>1654</v>
      </c>
      <c r="D263" s="243" t="s">
        <v>1653</v>
      </c>
      <c r="E263" s="243"/>
      <c r="F263" s="243"/>
      <c r="G263" s="243"/>
      <c r="H263" s="243"/>
      <c r="I263" s="243"/>
      <c r="J263" s="141" t="s">
        <v>691</v>
      </c>
      <c r="K263" s="137">
        <v>4</v>
      </c>
      <c r="L263" s="203">
        <v>0</v>
      </c>
      <c r="M263" s="137">
        <f>K263*L263</f>
        <v>0</v>
      </c>
      <c r="N263" s="137">
        <v>4.3299999999999996E-3</v>
      </c>
      <c r="O263" s="140" t="s">
        <v>1340</v>
      </c>
      <c r="P263" s="130"/>
      <c r="Z263" s="137">
        <f>IF(AQ263="5",BJ263,0)</f>
        <v>0</v>
      </c>
      <c r="AB263" s="137">
        <f>IF(AQ263="1",BH263,0)</f>
        <v>0</v>
      </c>
      <c r="AC263" s="137">
        <f>IF(AQ263="1",BI263,0)</f>
        <v>0</v>
      </c>
      <c r="AD263" s="137">
        <f>IF(AQ263="7",BH263,0)</f>
        <v>0</v>
      </c>
      <c r="AE263" s="137">
        <f>IF(AQ263="7",BI263,0)</f>
        <v>0</v>
      </c>
      <c r="AF263" s="137">
        <f>IF(AQ263="2",BH263,0)</f>
        <v>0</v>
      </c>
      <c r="AG263" s="137">
        <f>IF(AQ263="2",BI263,0)</f>
        <v>0</v>
      </c>
      <c r="AH263" s="137">
        <f>IF(AQ263="0",BJ263,0)</f>
        <v>0</v>
      </c>
      <c r="AI263" s="138" t="s">
        <v>1339</v>
      </c>
      <c r="AJ263" s="137">
        <f>IF(AN263=0,M263,0)</f>
        <v>0</v>
      </c>
      <c r="AK263" s="137">
        <f>IF(AN263=15,M263,0)</f>
        <v>0</v>
      </c>
      <c r="AL263" s="137">
        <f>IF(AN263=21,M263,0)</f>
        <v>0</v>
      </c>
      <c r="AN263" s="137">
        <v>21</v>
      </c>
      <c r="AO263" s="137">
        <f>L263*0.283395445134576</f>
        <v>0</v>
      </c>
      <c r="AP263" s="137">
        <f>L263*(1-0.283395445134576)</f>
        <v>0</v>
      </c>
      <c r="AQ263" s="139" t="s">
        <v>352</v>
      </c>
      <c r="AV263" s="137">
        <f>AW263+AX263</f>
        <v>0</v>
      </c>
      <c r="AW263" s="137">
        <f>K263*AO263</f>
        <v>0</v>
      </c>
      <c r="AX263" s="137">
        <f>K263*AP263</f>
        <v>0</v>
      </c>
      <c r="AY263" s="139" t="s">
        <v>1645</v>
      </c>
      <c r="AZ263" s="139" t="s">
        <v>1551</v>
      </c>
      <c r="BA263" s="138" t="s">
        <v>1336</v>
      </c>
      <c r="BC263" s="137">
        <f>AW263+AX263</f>
        <v>0</v>
      </c>
      <c r="BD263" s="137">
        <f>L263/(100-BE263)*100</f>
        <v>0</v>
      </c>
      <c r="BE263" s="137">
        <v>0</v>
      </c>
      <c r="BF263" s="137">
        <f>263</f>
        <v>263</v>
      </c>
      <c r="BH263" s="137">
        <f>K263*AO263</f>
        <v>0</v>
      </c>
      <c r="BI263" s="137">
        <f>K263*AP263</f>
        <v>0</v>
      </c>
      <c r="BJ263" s="137">
        <f>K263*L263</f>
        <v>0</v>
      </c>
      <c r="BK263" s="137" t="s">
        <v>442</v>
      </c>
      <c r="BL263" s="137">
        <v>764</v>
      </c>
    </row>
    <row r="264" spans="1:64">
      <c r="A264" s="130"/>
      <c r="D264" s="157" t="s">
        <v>1652</v>
      </c>
      <c r="I264" s="156"/>
      <c r="K264" s="155">
        <v>4</v>
      </c>
      <c r="O264" s="154"/>
      <c r="P264" s="130"/>
    </row>
    <row r="265" spans="1:64">
      <c r="A265" s="142" t="s">
        <v>69</v>
      </c>
      <c r="B265" s="141" t="s">
        <v>1339</v>
      </c>
      <c r="C265" s="141" t="s">
        <v>1651</v>
      </c>
      <c r="D265" s="243" t="s">
        <v>1650</v>
      </c>
      <c r="E265" s="243"/>
      <c r="F265" s="243"/>
      <c r="G265" s="243"/>
      <c r="H265" s="243"/>
      <c r="I265" s="243"/>
      <c r="J265" s="141" t="s">
        <v>722</v>
      </c>
      <c r="K265" s="137">
        <v>2</v>
      </c>
      <c r="L265" s="203">
        <v>0</v>
      </c>
      <c r="M265" s="137">
        <f>K265*L265</f>
        <v>0</v>
      </c>
      <c r="N265" s="137">
        <v>4.0899999999999999E-3</v>
      </c>
      <c r="O265" s="140" t="s">
        <v>1340</v>
      </c>
      <c r="P265" s="130"/>
      <c r="Z265" s="137">
        <f>IF(AQ265="5",BJ265,0)</f>
        <v>0</v>
      </c>
      <c r="AB265" s="137">
        <f>IF(AQ265="1",BH265,0)</f>
        <v>0</v>
      </c>
      <c r="AC265" s="137">
        <f>IF(AQ265="1",BI265,0)</f>
        <v>0</v>
      </c>
      <c r="AD265" s="137">
        <f>IF(AQ265="7",BH265,0)</f>
        <v>0</v>
      </c>
      <c r="AE265" s="137">
        <f>IF(AQ265="7",BI265,0)</f>
        <v>0</v>
      </c>
      <c r="AF265" s="137">
        <f>IF(AQ265="2",BH265,0)</f>
        <v>0</v>
      </c>
      <c r="AG265" s="137">
        <f>IF(AQ265="2",BI265,0)</f>
        <v>0</v>
      </c>
      <c r="AH265" s="137">
        <f>IF(AQ265="0",BJ265,0)</f>
        <v>0</v>
      </c>
      <c r="AI265" s="138" t="s">
        <v>1339</v>
      </c>
      <c r="AJ265" s="137">
        <f>IF(AN265=0,M265,0)</f>
        <v>0</v>
      </c>
      <c r="AK265" s="137">
        <f>IF(AN265=15,M265,0)</f>
        <v>0</v>
      </c>
      <c r="AL265" s="137">
        <f>IF(AN265=21,M265,0)</f>
        <v>0</v>
      </c>
      <c r="AN265" s="137">
        <v>21</v>
      </c>
      <c r="AO265" s="137">
        <f>L265*0.821259953161593</f>
        <v>0</v>
      </c>
      <c r="AP265" s="137">
        <f>L265*(1-0.821259953161593)</f>
        <v>0</v>
      </c>
      <c r="AQ265" s="139" t="s">
        <v>352</v>
      </c>
      <c r="AV265" s="137">
        <f>AW265+AX265</f>
        <v>0</v>
      </c>
      <c r="AW265" s="137">
        <f>K265*AO265</f>
        <v>0</v>
      </c>
      <c r="AX265" s="137">
        <f>K265*AP265</f>
        <v>0</v>
      </c>
      <c r="AY265" s="139" t="s">
        <v>1645</v>
      </c>
      <c r="AZ265" s="139" t="s">
        <v>1551</v>
      </c>
      <c r="BA265" s="138" t="s">
        <v>1336</v>
      </c>
      <c r="BC265" s="137">
        <f>AW265+AX265</f>
        <v>0</v>
      </c>
      <c r="BD265" s="137">
        <f>L265/(100-BE265)*100</f>
        <v>0</v>
      </c>
      <c r="BE265" s="137">
        <v>0</v>
      </c>
      <c r="BF265" s="137">
        <f>265</f>
        <v>265</v>
      </c>
      <c r="BH265" s="137">
        <f>K265*AO265</f>
        <v>0</v>
      </c>
      <c r="BI265" s="137">
        <f>K265*AP265</f>
        <v>0</v>
      </c>
      <c r="BJ265" s="137">
        <f>K265*L265</f>
        <v>0</v>
      </c>
      <c r="BK265" s="137" t="s">
        <v>442</v>
      </c>
      <c r="BL265" s="137">
        <v>764</v>
      </c>
    </row>
    <row r="266" spans="1:64">
      <c r="A266" s="130"/>
      <c r="D266" s="157" t="s">
        <v>365</v>
      </c>
      <c r="I266" s="156"/>
      <c r="K266" s="155">
        <v>2</v>
      </c>
      <c r="O266" s="154"/>
      <c r="P266" s="130"/>
    </row>
    <row r="267" spans="1:64">
      <c r="A267" s="142" t="s">
        <v>65</v>
      </c>
      <c r="B267" s="141" t="s">
        <v>1339</v>
      </c>
      <c r="C267" s="141" t="s">
        <v>1649</v>
      </c>
      <c r="D267" s="243" t="s">
        <v>1648</v>
      </c>
      <c r="E267" s="243"/>
      <c r="F267" s="243"/>
      <c r="G267" s="243"/>
      <c r="H267" s="243"/>
      <c r="I267" s="243"/>
      <c r="J267" s="141" t="s">
        <v>722</v>
      </c>
      <c r="K267" s="137">
        <v>1</v>
      </c>
      <c r="L267" s="203">
        <v>0</v>
      </c>
      <c r="M267" s="137">
        <f>K267*L267</f>
        <v>0</v>
      </c>
      <c r="N267" s="137">
        <v>4.6699999999999997E-3</v>
      </c>
      <c r="O267" s="140" t="s">
        <v>1340</v>
      </c>
      <c r="P267" s="130"/>
      <c r="Z267" s="137">
        <f>IF(AQ267="5",BJ267,0)</f>
        <v>0</v>
      </c>
      <c r="AB267" s="137">
        <f>IF(AQ267="1",BH267,0)</f>
        <v>0</v>
      </c>
      <c r="AC267" s="137">
        <f>IF(AQ267="1",BI267,0)</f>
        <v>0</v>
      </c>
      <c r="AD267" s="137">
        <f>IF(AQ267="7",BH267,0)</f>
        <v>0</v>
      </c>
      <c r="AE267" s="137">
        <f>IF(AQ267="7",BI267,0)</f>
        <v>0</v>
      </c>
      <c r="AF267" s="137">
        <f>IF(AQ267="2",BH267,0)</f>
        <v>0</v>
      </c>
      <c r="AG267" s="137">
        <f>IF(AQ267="2",BI267,0)</f>
        <v>0</v>
      </c>
      <c r="AH267" s="137">
        <f>IF(AQ267="0",BJ267,0)</f>
        <v>0</v>
      </c>
      <c r="AI267" s="138" t="s">
        <v>1339</v>
      </c>
      <c r="AJ267" s="137">
        <f>IF(AN267=0,M267,0)</f>
        <v>0</v>
      </c>
      <c r="AK267" s="137">
        <f>IF(AN267=15,M267,0)</f>
        <v>0</v>
      </c>
      <c r="AL267" s="137">
        <f>IF(AN267=21,M267,0)</f>
        <v>0</v>
      </c>
      <c r="AN267" s="137">
        <v>21</v>
      </c>
      <c r="AO267" s="137">
        <f>L267*0.827472164948454</f>
        <v>0</v>
      </c>
      <c r="AP267" s="137">
        <f>L267*(1-0.827472164948454)</f>
        <v>0</v>
      </c>
      <c r="AQ267" s="139" t="s">
        <v>352</v>
      </c>
      <c r="AV267" s="137">
        <f>AW267+AX267</f>
        <v>0</v>
      </c>
      <c r="AW267" s="137">
        <f>K267*AO267</f>
        <v>0</v>
      </c>
      <c r="AX267" s="137">
        <f>K267*AP267</f>
        <v>0</v>
      </c>
      <c r="AY267" s="139" t="s">
        <v>1645</v>
      </c>
      <c r="AZ267" s="139" t="s">
        <v>1551</v>
      </c>
      <c r="BA267" s="138" t="s">
        <v>1336</v>
      </c>
      <c r="BC267" s="137">
        <f>AW267+AX267</f>
        <v>0</v>
      </c>
      <c r="BD267" s="137">
        <f>L267/(100-BE267)*100</f>
        <v>0</v>
      </c>
      <c r="BE267" s="137">
        <v>0</v>
      </c>
      <c r="BF267" s="137">
        <f>267</f>
        <v>267</v>
      </c>
      <c r="BH267" s="137">
        <f>K267*AO267</f>
        <v>0</v>
      </c>
      <c r="BI267" s="137">
        <f>K267*AP267</f>
        <v>0</v>
      </c>
      <c r="BJ267" s="137">
        <f>K267*L267</f>
        <v>0</v>
      </c>
      <c r="BK267" s="137" t="s">
        <v>442</v>
      </c>
      <c r="BL267" s="137">
        <v>764</v>
      </c>
    </row>
    <row r="268" spans="1:64">
      <c r="A268" s="130"/>
      <c r="D268" s="157" t="s">
        <v>2</v>
      </c>
      <c r="I268" s="156"/>
      <c r="K268" s="155">
        <v>1</v>
      </c>
      <c r="O268" s="154"/>
      <c r="P268" s="130"/>
    </row>
    <row r="269" spans="1:64">
      <c r="A269" s="142" t="s">
        <v>61</v>
      </c>
      <c r="B269" s="141" t="s">
        <v>1339</v>
      </c>
      <c r="C269" s="141" t="s">
        <v>1647</v>
      </c>
      <c r="D269" s="243" t="s">
        <v>1646</v>
      </c>
      <c r="E269" s="243"/>
      <c r="F269" s="243"/>
      <c r="G269" s="243"/>
      <c r="H269" s="243"/>
      <c r="I269" s="243"/>
      <c r="J269" s="141" t="s">
        <v>735</v>
      </c>
      <c r="K269" s="137">
        <v>0.23196</v>
      </c>
      <c r="L269" s="203">
        <v>0</v>
      </c>
      <c r="M269" s="137">
        <f>K269*L269</f>
        <v>0</v>
      </c>
      <c r="N269" s="137">
        <v>0</v>
      </c>
      <c r="O269" s="140" t="s">
        <v>1340</v>
      </c>
      <c r="P269" s="130"/>
      <c r="Z269" s="137">
        <f>IF(AQ269="5",BJ269,0)</f>
        <v>0</v>
      </c>
      <c r="AB269" s="137">
        <f>IF(AQ269="1",BH269,0)</f>
        <v>0</v>
      </c>
      <c r="AC269" s="137">
        <f>IF(AQ269="1",BI269,0)</f>
        <v>0</v>
      </c>
      <c r="AD269" s="137">
        <f>IF(AQ269="7",BH269,0)</f>
        <v>0</v>
      </c>
      <c r="AE269" s="137">
        <f>IF(AQ269="7",BI269,0)</f>
        <v>0</v>
      </c>
      <c r="AF269" s="137">
        <f>IF(AQ269="2",BH269,0)</f>
        <v>0</v>
      </c>
      <c r="AG269" s="137">
        <f>IF(AQ269="2",BI269,0)</f>
        <v>0</v>
      </c>
      <c r="AH269" s="137">
        <f>IF(AQ269="0",BJ269,0)</f>
        <v>0</v>
      </c>
      <c r="AI269" s="138" t="s">
        <v>1339</v>
      </c>
      <c r="AJ269" s="137">
        <f>IF(AN269=0,M269,0)</f>
        <v>0</v>
      </c>
      <c r="AK269" s="137">
        <f>IF(AN269=15,M269,0)</f>
        <v>0</v>
      </c>
      <c r="AL269" s="137">
        <f>IF(AN269=21,M269,0)</f>
        <v>0</v>
      </c>
      <c r="AN269" s="137">
        <v>21</v>
      </c>
      <c r="AO269" s="137">
        <f>L269*0</f>
        <v>0</v>
      </c>
      <c r="AP269" s="137">
        <f>L269*(1-0)</f>
        <v>0</v>
      </c>
      <c r="AQ269" s="139" t="s">
        <v>357</v>
      </c>
      <c r="AV269" s="137">
        <f>AW269+AX269</f>
        <v>0</v>
      </c>
      <c r="AW269" s="137">
        <f>K269*AO269</f>
        <v>0</v>
      </c>
      <c r="AX269" s="137">
        <f>K269*AP269</f>
        <v>0</v>
      </c>
      <c r="AY269" s="139" t="s">
        <v>1645</v>
      </c>
      <c r="AZ269" s="139" t="s">
        <v>1551</v>
      </c>
      <c r="BA269" s="138" t="s">
        <v>1336</v>
      </c>
      <c r="BC269" s="137">
        <f>AW269+AX269</f>
        <v>0</v>
      </c>
      <c r="BD269" s="137">
        <f>L269/(100-BE269)*100</f>
        <v>0</v>
      </c>
      <c r="BE269" s="137">
        <v>0</v>
      </c>
      <c r="BF269" s="137">
        <f>269</f>
        <v>269</v>
      </c>
      <c r="BH269" s="137">
        <f>K269*AO269</f>
        <v>0</v>
      </c>
      <c r="BI269" s="137">
        <f>K269*AP269</f>
        <v>0</v>
      </c>
      <c r="BJ269" s="137">
        <f>K269*L269</f>
        <v>0</v>
      </c>
      <c r="BK269" s="137" t="s">
        <v>442</v>
      </c>
      <c r="BL269" s="137">
        <v>764</v>
      </c>
    </row>
    <row r="270" spans="1:64">
      <c r="A270" s="147"/>
      <c r="B270" s="146" t="s">
        <v>1339</v>
      </c>
      <c r="C270" s="146" t="s">
        <v>1644</v>
      </c>
      <c r="D270" s="252" t="s">
        <v>1643</v>
      </c>
      <c r="E270" s="252"/>
      <c r="F270" s="252"/>
      <c r="G270" s="252"/>
      <c r="H270" s="252"/>
      <c r="I270" s="252"/>
      <c r="J270" s="145" t="s">
        <v>1305</v>
      </c>
      <c r="K270" s="145" t="s">
        <v>1305</v>
      </c>
      <c r="L270" s="145" t="s">
        <v>1305</v>
      </c>
      <c r="M270" s="143">
        <f>SUM(M271:M271)</f>
        <v>0</v>
      </c>
      <c r="N270" s="138"/>
      <c r="O270" s="144"/>
      <c r="P270" s="130"/>
      <c r="AI270" s="138" t="s">
        <v>1339</v>
      </c>
      <c r="AS270" s="143">
        <f>SUM(AJ271:AJ271)</f>
        <v>0</v>
      </c>
      <c r="AT270" s="143">
        <f>SUM(AK271:AK271)</f>
        <v>0</v>
      </c>
      <c r="AU270" s="143">
        <f>SUM(AL271:AL271)</f>
        <v>0</v>
      </c>
    </row>
    <row r="271" spans="1:64">
      <c r="A271" s="142" t="s">
        <v>57</v>
      </c>
      <c r="B271" s="141" t="s">
        <v>1339</v>
      </c>
      <c r="C271" s="141" t="s">
        <v>1642</v>
      </c>
      <c r="D271" s="243" t="s">
        <v>1641</v>
      </c>
      <c r="E271" s="243"/>
      <c r="F271" s="243"/>
      <c r="G271" s="243"/>
      <c r="H271" s="243"/>
      <c r="I271" s="243"/>
      <c r="J271" s="141" t="s">
        <v>8</v>
      </c>
      <c r="K271" s="137">
        <v>1</v>
      </c>
      <c r="L271" s="203">
        <v>0</v>
      </c>
      <c r="M271" s="137">
        <f>K271*L271</f>
        <v>0</v>
      </c>
      <c r="N271" s="137">
        <v>0</v>
      </c>
      <c r="O271" s="140" t="s">
        <v>1302</v>
      </c>
      <c r="P271" s="130"/>
      <c r="Z271" s="137">
        <f>IF(AQ271="5",BJ271,0)</f>
        <v>0</v>
      </c>
      <c r="AB271" s="137">
        <f>IF(AQ271="1",BH271,0)</f>
        <v>0</v>
      </c>
      <c r="AC271" s="137">
        <f>IF(AQ271="1",BI271,0)</f>
        <v>0</v>
      </c>
      <c r="AD271" s="137">
        <f>IF(AQ271="7",BH271,0)</f>
        <v>0</v>
      </c>
      <c r="AE271" s="137">
        <f>IF(AQ271="7",BI271,0)</f>
        <v>0</v>
      </c>
      <c r="AF271" s="137">
        <f>IF(AQ271="2",BH271,0)</f>
        <v>0</v>
      </c>
      <c r="AG271" s="137">
        <f>IF(AQ271="2",BI271,0)</f>
        <v>0</v>
      </c>
      <c r="AH271" s="137">
        <f>IF(AQ271="0",BJ271,0)</f>
        <v>0</v>
      </c>
      <c r="AI271" s="138" t="s">
        <v>1339</v>
      </c>
      <c r="AJ271" s="137">
        <f>IF(AN271=0,M271,0)</f>
        <v>0</v>
      </c>
      <c r="AK271" s="137">
        <f>IF(AN271=15,M271,0)</f>
        <v>0</v>
      </c>
      <c r="AL271" s="137">
        <f>IF(AN271=21,M271,0)</f>
        <v>0</v>
      </c>
      <c r="AN271" s="137">
        <v>21</v>
      </c>
      <c r="AO271" s="137">
        <f>L271*0</f>
        <v>0</v>
      </c>
      <c r="AP271" s="137">
        <f>L271*(1-0)</f>
        <v>0</v>
      </c>
      <c r="AQ271" s="139" t="s">
        <v>352</v>
      </c>
      <c r="AV271" s="137">
        <f>AW271+AX271</f>
        <v>0</v>
      </c>
      <c r="AW271" s="137">
        <f>K271*AO271</f>
        <v>0</v>
      </c>
      <c r="AX271" s="137">
        <f>K271*AP271</f>
        <v>0</v>
      </c>
      <c r="AY271" s="139" t="s">
        <v>1640</v>
      </c>
      <c r="AZ271" s="139" t="s">
        <v>1551</v>
      </c>
      <c r="BA271" s="138" t="s">
        <v>1336</v>
      </c>
      <c r="BC271" s="137">
        <f>AW271+AX271</f>
        <v>0</v>
      </c>
      <c r="BD271" s="137">
        <f>L271/(100-BE271)*100</f>
        <v>0</v>
      </c>
      <c r="BE271" s="137">
        <v>0</v>
      </c>
      <c r="BF271" s="137">
        <f>271</f>
        <v>271</v>
      </c>
      <c r="BH271" s="137">
        <f>K271*AO271</f>
        <v>0</v>
      </c>
      <c r="BI271" s="137">
        <f>K271*AP271</f>
        <v>0</v>
      </c>
      <c r="BJ271" s="137">
        <f>K271*L271</f>
        <v>0</v>
      </c>
      <c r="BK271" s="137" t="s">
        <v>442</v>
      </c>
      <c r="BL271" s="137">
        <v>765</v>
      </c>
    </row>
    <row r="272" spans="1:64">
      <c r="A272" s="130"/>
      <c r="D272" s="157" t="s">
        <v>2</v>
      </c>
      <c r="I272" s="156"/>
      <c r="K272" s="155">
        <v>1</v>
      </c>
      <c r="O272" s="154"/>
      <c r="P272" s="130"/>
    </row>
    <row r="273" spans="1:64">
      <c r="A273" s="147"/>
      <c r="B273" s="146" t="s">
        <v>1339</v>
      </c>
      <c r="C273" s="146" t="s">
        <v>1639</v>
      </c>
      <c r="D273" s="252" t="s">
        <v>1638</v>
      </c>
      <c r="E273" s="252"/>
      <c r="F273" s="252"/>
      <c r="G273" s="252"/>
      <c r="H273" s="252"/>
      <c r="I273" s="252"/>
      <c r="J273" s="145" t="s">
        <v>1305</v>
      </c>
      <c r="K273" s="145" t="s">
        <v>1305</v>
      </c>
      <c r="L273" s="145" t="s">
        <v>1305</v>
      </c>
      <c r="M273" s="143">
        <f>SUM(M274:M308)</f>
        <v>0</v>
      </c>
      <c r="N273" s="138"/>
      <c r="O273" s="144"/>
      <c r="P273" s="130"/>
      <c r="AI273" s="138" t="s">
        <v>1339</v>
      </c>
      <c r="AS273" s="143">
        <f>SUM(AJ274:AJ308)</f>
        <v>0</v>
      </c>
      <c r="AT273" s="143">
        <f>SUM(AK274:AK308)</f>
        <v>0</v>
      </c>
      <c r="AU273" s="143">
        <f>SUM(AL274:AL308)</f>
        <v>0</v>
      </c>
    </row>
    <row r="274" spans="1:64">
      <c r="A274" s="142" t="s">
        <v>51</v>
      </c>
      <c r="B274" s="141" t="s">
        <v>1339</v>
      </c>
      <c r="C274" s="141" t="s">
        <v>1637</v>
      </c>
      <c r="D274" s="243" t="s">
        <v>1636</v>
      </c>
      <c r="E274" s="243"/>
      <c r="F274" s="243"/>
      <c r="G274" s="243"/>
      <c r="H274" s="243"/>
      <c r="I274" s="243"/>
      <c r="J274" s="141" t="s">
        <v>21</v>
      </c>
      <c r="K274" s="137">
        <v>6.24</v>
      </c>
      <c r="L274" s="203">
        <v>0</v>
      </c>
      <c r="M274" s="137">
        <f>K274*L274</f>
        <v>0</v>
      </c>
      <c r="N274" s="137">
        <v>1.0000000000000001E-5</v>
      </c>
      <c r="O274" s="140" t="s">
        <v>1340</v>
      </c>
      <c r="P274" s="130"/>
      <c r="Z274" s="137">
        <f>IF(AQ274="5",BJ274,0)</f>
        <v>0</v>
      </c>
      <c r="AB274" s="137">
        <f>IF(AQ274="1",BH274,0)</f>
        <v>0</v>
      </c>
      <c r="AC274" s="137">
        <f>IF(AQ274="1",BI274,0)</f>
        <v>0</v>
      </c>
      <c r="AD274" s="137">
        <f>IF(AQ274="7",BH274,0)</f>
        <v>0</v>
      </c>
      <c r="AE274" s="137">
        <f>IF(AQ274="7",BI274,0)</f>
        <v>0</v>
      </c>
      <c r="AF274" s="137">
        <f>IF(AQ274="2",BH274,0)</f>
        <v>0</v>
      </c>
      <c r="AG274" s="137">
        <f>IF(AQ274="2",BI274,0)</f>
        <v>0</v>
      </c>
      <c r="AH274" s="137">
        <f>IF(AQ274="0",BJ274,0)</f>
        <v>0</v>
      </c>
      <c r="AI274" s="138" t="s">
        <v>1339</v>
      </c>
      <c r="AJ274" s="137">
        <f>IF(AN274=0,M274,0)</f>
        <v>0</v>
      </c>
      <c r="AK274" s="137">
        <f>IF(AN274=15,M274,0)</f>
        <v>0</v>
      </c>
      <c r="AL274" s="137">
        <f>IF(AN274=21,M274,0)</f>
        <v>0</v>
      </c>
      <c r="AN274" s="137">
        <v>21</v>
      </c>
      <c r="AO274" s="137">
        <f>L274*0.101617186498416</f>
        <v>0</v>
      </c>
      <c r="AP274" s="137">
        <f>L274*(1-0.101617186498416)</f>
        <v>0</v>
      </c>
      <c r="AQ274" s="139" t="s">
        <v>352</v>
      </c>
      <c r="AV274" s="137">
        <f>AW274+AX274</f>
        <v>0</v>
      </c>
      <c r="AW274" s="137">
        <f>K274*AO274</f>
        <v>0</v>
      </c>
      <c r="AX274" s="137">
        <f>K274*AP274</f>
        <v>0</v>
      </c>
      <c r="AY274" s="139" t="s">
        <v>1595</v>
      </c>
      <c r="AZ274" s="139" t="s">
        <v>1551</v>
      </c>
      <c r="BA274" s="138" t="s">
        <v>1336</v>
      </c>
      <c r="BC274" s="137">
        <f>AW274+AX274</f>
        <v>0</v>
      </c>
      <c r="BD274" s="137">
        <f>L274/(100-BE274)*100</f>
        <v>0</v>
      </c>
      <c r="BE274" s="137">
        <v>0</v>
      </c>
      <c r="BF274" s="137">
        <f>274</f>
        <v>274</v>
      </c>
      <c r="BH274" s="137">
        <f>K274*AO274</f>
        <v>0</v>
      </c>
      <c r="BI274" s="137">
        <f>K274*AP274</f>
        <v>0</v>
      </c>
      <c r="BJ274" s="137">
        <f>K274*L274</f>
        <v>0</v>
      </c>
      <c r="BK274" s="137" t="s">
        <v>442</v>
      </c>
      <c r="BL274" s="137">
        <v>766</v>
      </c>
    </row>
    <row r="275" spans="1:64" ht="14.65" customHeight="1">
      <c r="A275" s="130"/>
      <c r="D275" s="251" t="s">
        <v>1635</v>
      </c>
      <c r="E275" s="251"/>
      <c r="F275" s="251"/>
      <c r="G275" s="251"/>
      <c r="H275" s="251"/>
      <c r="I275" s="251"/>
      <c r="J275" s="251"/>
      <c r="K275" s="251"/>
      <c r="L275" s="251"/>
      <c r="M275" s="251"/>
      <c r="N275" s="251"/>
      <c r="O275" s="251"/>
      <c r="P275" s="130"/>
    </row>
    <row r="276" spans="1:64">
      <c r="A276" s="130"/>
      <c r="D276" s="157" t="s">
        <v>1634</v>
      </c>
      <c r="I276" s="156"/>
      <c r="K276" s="155">
        <v>6.24</v>
      </c>
      <c r="O276" s="154"/>
      <c r="P276" s="130"/>
    </row>
    <row r="277" spans="1:64">
      <c r="A277" s="142" t="s">
        <v>47</v>
      </c>
      <c r="B277" s="141" t="s">
        <v>1339</v>
      </c>
      <c r="C277" s="141" t="s">
        <v>1633</v>
      </c>
      <c r="D277" s="243" t="s">
        <v>1632</v>
      </c>
      <c r="E277" s="243"/>
      <c r="F277" s="243"/>
      <c r="G277" s="243"/>
      <c r="H277" s="243"/>
      <c r="I277" s="243"/>
      <c r="J277" s="141" t="s">
        <v>722</v>
      </c>
      <c r="K277" s="137">
        <v>2</v>
      </c>
      <c r="L277" s="203">
        <v>0</v>
      </c>
      <c r="M277" s="137">
        <f>K277*L277</f>
        <v>0</v>
      </c>
      <c r="N277" s="137">
        <v>0</v>
      </c>
      <c r="O277" s="140" t="s">
        <v>1340</v>
      </c>
      <c r="P277" s="130"/>
      <c r="Z277" s="137">
        <f>IF(AQ277="5",BJ277,0)</f>
        <v>0</v>
      </c>
      <c r="AB277" s="137">
        <f>IF(AQ277="1",BH277,0)</f>
        <v>0</v>
      </c>
      <c r="AC277" s="137">
        <f>IF(AQ277="1",BI277,0)</f>
        <v>0</v>
      </c>
      <c r="AD277" s="137">
        <f>IF(AQ277="7",BH277,0)</f>
        <v>0</v>
      </c>
      <c r="AE277" s="137">
        <f>IF(AQ277="7",BI277,0)</f>
        <v>0</v>
      </c>
      <c r="AF277" s="137">
        <f>IF(AQ277="2",BH277,0)</f>
        <v>0</v>
      </c>
      <c r="AG277" s="137">
        <f>IF(AQ277="2",BI277,0)</f>
        <v>0</v>
      </c>
      <c r="AH277" s="137">
        <f>IF(AQ277="0",BJ277,0)</f>
        <v>0</v>
      </c>
      <c r="AI277" s="138" t="s">
        <v>1339</v>
      </c>
      <c r="AJ277" s="137">
        <f>IF(AN277=0,M277,0)</f>
        <v>0</v>
      </c>
      <c r="AK277" s="137">
        <f>IF(AN277=15,M277,0)</f>
        <v>0</v>
      </c>
      <c r="AL277" s="137">
        <f>IF(AN277=21,M277,0)</f>
        <v>0</v>
      </c>
      <c r="AN277" s="137">
        <v>21</v>
      </c>
      <c r="AO277" s="137">
        <f>L277*0</f>
        <v>0</v>
      </c>
      <c r="AP277" s="137">
        <f>L277*(1-0)</f>
        <v>0</v>
      </c>
      <c r="AQ277" s="139" t="s">
        <v>352</v>
      </c>
      <c r="AV277" s="137">
        <f>AW277+AX277</f>
        <v>0</v>
      </c>
      <c r="AW277" s="137">
        <f>K277*AO277</f>
        <v>0</v>
      </c>
      <c r="AX277" s="137">
        <f>K277*AP277</f>
        <v>0</v>
      </c>
      <c r="AY277" s="139" t="s">
        <v>1595</v>
      </c>
      <c r="AZ277" s="139" t="s">
        <v>1551</v>
      </c>
      <c r="BA277" s="138" t="s">
        <v>1336</v>
      </c>
      <c r="BC277" s="137">
        <f>AW277+AX277</f>
        <v>0</v>
      </c>
      <c r="BD277" s="137">
        <f>L277/(100-BE277)*100</f>
        <v>0</v>
      </c>
      <c r="BE277" s="137">
        <v>0</v>
      </c>
      <c r="BF277" s="137">
        <f>277</f>
        <v>277</v>
      </c>
      <c r="BH277" s="137">
        <f>K277*AO277</f>
        <v>0</v>
      </c>
      <c r="BI277" s="137">
        <f>K277*AP277</f>
        <v>0</v>
      </c>
      <c r="BJ277" s="137">
        <f>K277*L277</f>
        <v>0</v>
      </c>
      <c r="BK277" s="137" t="s">
        <v>442</v>
      </c>
      <c r="BL277" s="137">
        <v>766</v>
      </c>
    </row>
    <row r="278" spans="1:64">
      <c r="A278" s="130"/>
      <c r="D278" s="157" t="s">
        <v>365</v>
      </c>
      <c r="I278" s="156"/>
      <c r="K278" s="155">
        <v>2</v>
      </c>
      <c r="O278" s="154"/>
      <c r="P278" s="130"/>
    </row>
    <row r="279" spans="1:64">
      <c r="A279" s="142" t="s">
        <v>43</v>
      </c>
      <c r="B279" s="141" t="s">
        <v>1339</v>
      </c>
      <c r="C279" s="141" t="s">
        <v>1631</v>
      </c>
      <c r="D279" s="243" t="s">
        <v>1630</v>
      </c>
      <c r="E279" s="243"/>
      <c r="F279" s="243"/>
      <c r="G279" s="243"/>
      <c r="H279" s="243"/>
      <c r="I279" s="243"/>
      <c r="J279" s="141" t="s">
        <v>722</v>
      </c>
      <c r="K279" s="137">
        <v>2</v>
      </c>
      <c r="L279" s="203">
        <v>0</v>
      </c>
      <c r="M279" s="137">
        <f>K279*L279</f>
        <v>0</v>
      </c>
      <c r="N279" s="137">
        <v>2.8000000000000001E-2</v>
      </c>
      <c r="O279" s="140" t="s">
        <v>1340</v>
      </c>
      <c r="P279" s="130"/>
      <c r="Z279" s="137">
        <f>IF(AQ279="5",BJ279,0)</f>
        <v>0</v>
      </c>
      <c r="AB279" s="137">
        <f>IF(AQ279="1",BH279,0)</f>
        <v>0</v>
      </c>
      <c r="AC279" s="137">
        <f>IF(AQ279="1",BI279,0)</f>
        <v>0</v>
      </c>
      <c r="AD279" s="137">
        <f>IF(AQ279="7",BH279,0)</f>
        <v>0</v>
      </c>
      <c r="AE279" s="137">
        <f>IF(AQ279="7",BI279,0)</f>
        <v>0</v>
      </c>
      <c r="AF279" s="137">
        <f>IF(AQ279="2",BH279,0)</f>
        <v>0</v>
      </c>
      <c r="AG279" s="137">
        <f>IF(AQ279="2",BI279,0)</f>
        <v>0</v>
      </c>
      <c r="AH279" s="137">
        <f>IF(AQ279="0",BJ279,0)</f>
        <v>0</v>
      </c>
      <c r="AI279" s="138" t="s">
        <v>1339</v>
      </c>
      <c r="AJ279" s="137">
        <f>IF(AN279=0,M279,0)</f>
        <v>0</v>
      </c>
      <c r="AK279" s="137">
        <f>IF(AN279=15,M279,0)</f>
        <v>0</v>
      </c>
      <c r="AL279" s="137">
        <f>IF(AN279=21,M279,0)</f>
        <v>0</v>
      </c>
      <c r="AN279" s="137">
        <v>21</v>
      </c>
      <c r="AO279" s="137">
        <f>L279*1</f>
        <v>0</v>
      </c>
      <c r="AP279" s="137">
        <f>L279*(1-1)</f>
        <v>0</v>
      </c>
      <c r="AQ279" s="139" t="s">
        <v>352</v>
      </c>
      <c r="AV279" s="137">
        <f>AW279+AX279</f>
        <v>0</v>
      </c>
      <c r="AW279" s="137">
        <f>K279*AO279</f>
        <v>0</v>
      </c>
      <c r="AX279" s="137">
        <f>K279*AP279</f>
        <v>0</v>
      </c>
      <c r="AY279" s="139" t="s">
        <v>1595</v>
      </c>
      <c r="AZ279" s="139" t="s">
        <v>1551</v>
      </c>
      <c r="BA279" s="138" t="s">
        <v>1336</v>
      </c>
      <c r="BC279" s="137">
        <f>AW279+AX279</f>
        <v>0</v>
      </c>
      <c r="BD279" s="137">
        <f>L279/(100-BE279)*100</f>
        <v>0</v>
      </c>
      <c r="BE279" s="137">
        <v>0</v>
      </c>
      <c r="BF279" s="137">
        <f>279</f>
        <v>279</v>
      </c>
      <c r="BH279" s="137">
        <f>K279*AO279</f>
        <v>0</v>
      </c>
      <c r="BI279" s="137">
        <f>K279*AP279</f>
        <v>0</v>
      </c>
      <c r="BJ279" s="137">
        <f>K279*L279</f>
        <v>0</v>
      </c>
      <c r="BK279" s="137" t="s">
        <v>750</v>
      </c>
      <c r="BL279" s="137">
        <v>766</v>
      </c>
    </row>
    <row r="280" spans="1:64">
      <c r="A280" s="130"/>
      <c r="D280" s="157" t="s">
        <v>1629</v>
      </c>
      <c r="I280" s="156"/>
      <c r="K280" s="155">
        <v>1</v>
      </c>
      <c r="O280" s="154"/>
      <c r="P280" s="130"/>
    </row>
    <row r="281" spans="1:64">
      <c r="A281" s="130"/>
      <c r="D281" s="157" t="s">
        <v>1628</v>
      </c>
      <c r="I281" s="156"/>
      <c r="K281" s="155">
        <v>1</v>
      </c>
      <c r="O281" s="154"/>
      <c r="P281" s="130"/>
    </row>
    <row r="282" spans="1:64">
      <c r="A282" s="142" t="s">
        <v>40</v>
      </c>
      <c r="B282" s="141" t="s">
        <v>1339</v>
      </c>
      <c r="C282" s="141" t="s">
        <v>1627</v>
      </c>
      <c r="D282" s="243" t="s">
        <v>1626</v>
      </c>
      <c r="E282" s="243"/>
      <c r="F282" s="243"/>
      <c r="G282" s="243"/>
      <c r="H282" s="243"/>
      <c r="I282" s="243"/>
      <c r="J282" s="141" t="s">
        <v>722</v>
      </c>
      <c r="K282" s="137">
        <v>1</v>
      </c>
      <c r="L282" s="203">
        <v>0</v>
      </c>
      <c r="M282" s="137">
        <f>K282*L282</f>
        <v>0</v>
      </c>
      <c r="N282" s="137">
        <v>0</v>
      </c>
      <c r="O282" s="140" t="s">
        <v>1340</v>
      </c>
      <c r="P282" s="130"/>
      <c r="Z282" s="137">
        <f>IF(AQ282="5",BJ282,0)</f>
        <v>0</v>
      </c>
      <c r="AB282" s="137">
        <f>IF(AQ282="1",BH282,0)</f>
        <v>0</v>
      </c>
      <c r="AC282" s="137">
        <f>IF(AQ282="1",BI282,0)</f>
        <v>0</v>
      </c>
      <c r="AD282" s="137">
        <f>IF(AQ282="7",BH282,0)</f>
        <v>0</v>
      </c>
      <c r="AE282" s="137">
        <f>IF(AQ282="7",BI282,0)</f>
        <v>0</v>
      </c>
      <c r="AF282" s="137">
        <f>IF(AQ282="2",BH282,0)</f>
        <v>0</v>
      </c>
      <c r="AG282" s="137">
        <f>IF(AQ282="2",BI282,0)</f>
        <v>0</v>
      </c>
      <c r="AH282" s="137">
        <f>IF(AQ282="0",BJ282,0)</f>
        <v>0</v>
      </c>
      <c r="AI282" s="138" t="s">
        <v>1339</v>
      </c>
      <c r="AJ282" s="137">
        <f>IF(AN282=0,M282,0)</f>
        <v>0</v>
      </c>
      <c r="AK282" s="137">
        <f>IF(AN282=15,M282,0)</f>
        <v>0</v>
      </c>
      <c r="AL282" s="137">
        <f>IF(AN282=21,M282,0)</f>
        <v>0</v>
      </c>
      <c r="AN282" s="137">
        <v>21</v>
      </c>
      <c r="AO282" s="137">
        <f>L282*0</f>
        <v>0</v>
      </c>
      <c r="AP282" s="137">
        <f>L282*(1-0)</f>
        <v>0</v>
      </c>
      <c r="AQ282" s="139" t="s">
        <v>352</v>
      </c>
      <c r="AV282" s="137">
        <f>AW282+AX282</f>
        <v>0</v>
      </c>
      <c r="AW282" s="137">
        <f>K282*AO282</f>
        <v>0</v>
      </c>
      <c r="AX282" s="137">
        <f>K282*AP282</f>
        <v>0</v>
      </c>
      <c r="AY282" s="139" t="s">
        <v>1595</v>
      </c>
      <c r="AZ282" s="139" t="s">
        <v>1551</v>
      </c>
      <c r="BA282" s="138" t="s">
        <v>1336</v>
      </c>
      <c r="BC282" s="137">
        <f>AW282+AX282</f>
        <v>0</v>
      </c>
      <c r="BD282" s="137">
        <f>L282/(100-BE282)*100</f>
        <v>0</v>
      </c>
      <c r="BE282" s="137">
        <v>0</v>
      </c>
      <c r="BF282" s="137">
        <f>282</f>
        <v>282</v>
      </c>
      <c r="BH282" s="137">
        <f>K282*AO282</f>
        <v>0</v>
      </c>
      <c r="BI282" s="137">
        <f>K282*AP282</f>
        <v>0</v>
      </c>
      <c r="BJ282" s="137">
        <f>K282*L282</f>
        <v>0</v>
      </c>
      <c r="BK282" s="137" t="s">
        <v>442</v>
      </c>
      <c r="BL282" s="137">
        <v>766</v>
      </c>
    </row>
    <row r="283" spans="1:64">
      <c r="A283" s="130"/>
      <c r="D283" s="157" t="s">
        <v>2</v>
      </c>
      <c r="I283" s="156"/>
      <c r="K283" s="155">
        <v>1</v>
      </c>
      <c r="O283" s="154"/>
      <c r="P283" s="130"/>
    </row>
    <row r="284" spans="1:64">
      <c r="A284" s="142" t="s">
        <v>37</v>
      </c>
      <c r="B284" s="141" t="s">
        <v>1339</v>
      </c>
      <c r="C284" s="141" t="s">
        <v>1625</v>
      </c>
      <c r="D284" s="243" t="s">
        <v>1624</v>
      </c>
      <c r="E284" s="243"/>
      <c r="F284" s="243"/>
      <c r="G284" s="243"/>
      <c r="H284" s="243"/>
      <c r="I284" s="243"/>
      <c r="J284" s="141" t="s">
        <v>722</v>
      </c>
      <c r="K284" s="137">
        <v>1</v>
      </c>
      <c r="L284" s="203">
        <v>0</v>
      </c>
      <c r="M284" s="137">
        <f>K284*L284</f>
        <v>0</v>
      </c>
      <c r="N284" s="137">
        <v>2.3E-2</v>
      </c>
      <c r="O284" s="140" t="s">
        <v>1340</v>
      </c>
      <c r="P284" s="130"/>
      <c r="Z284" s="137">
        <f>IF(AQ284="5",BJ284,0)</f>
        <v>0</v>
      </c>
      <c r="AB284" s="137">
        <f>IF(AQ284="1",BH284,0)</f>
        <v>0</v>
      </c>
      <c r="AC284" s="137">
        <f>IF(AQ284="1",BI284,0)</f>
        <v>0</v>
      </c>
      <c r="AD284" s="137">
        <f>IF(AQ284="7",BH284,0)</f>
        <v>0</v>
      </c>
      <c r="AE284" s="137">
        <f>IF(AQ284="7",BI284,0)</f>
        <v>0</v>
      </c>
      <c r="AF284" s="137">
        <f>IF(AQ284="2",BH284,0)</f>
        <v>0</v>
      </c>
      <c r="AG284" s="137">
        <f>IF(AQ284="2",BI284,0)</f>
        <v>0</v>
      </c>
      <c r="AH284" s="137">
        <f>IF(AQ284="0",BJ284,0)</f>
        <v>0</v>
      </c>
      <c r="AI284" s="138" t="s">
        <v>1339</v>
      </c>
      <c r="AJ284" s="137">
        <f>IF(AN284=0,M284,0)</f>
        <v>0</v>
      </c>
      <c r="AK284" s="137">
        <f>IF(AN284=15,M284,0)</f>
        <v>0</v>
      </c>
      <c r="AL284" s="137">
        <f>IF(AN284=21,M284,0)</f>
        <v>0</v>
      </c>
      <c r="AN284" s="137">
        <v>21</v>
      </c>
      <c r="AO284" s="137">
        <f>L284*1</f>
        <v>0</v>
      </c>
      <c r="AP284" s="137">
        <f>L284*(1-1)</f>
        <v>0</v>
      </c>
      <c r="AQ284" s="139" t="s">
        <v>352</v>
      </c>
      <c r="AV284" s="137">
        <f>AW284+AX284</f>
        <v>0</v>
      </c>
      <c r="AW284" s="137">
        <f>K284*AO284</f>
        <v>0</v>
      </c>
      <c r="AX284" s="137">
        <f>K284*AP284</f>
        <v>0</v>
      </c>
      <c r="AY284" s="139" t="s">
        <v>1595</v>
      </c>
      <c r="AZ284" s="139" t="s">
        <v>1551</v>
      </c>
      <c r="BA284" s="138" t="s">
        <v>1336</v>
      </c>
      <c r="BC284" s="137">
        <f>AW284+AX284</f>
        <v>0</v>
      </c>
      <c r="BD284" s="137">
        <f>L284/(100-BE284)*100</f>
        <v>0</v>
      </c>
      <c r="BE284" s="137">
        <v>0</v>
      </c>
      <c r="BF284" s="137">
        <f>284</f>
        <v>284</v>
      </c>
      <c r="BH284" s="137">
        <f>K284*AO284</f>
        <v>0</v>
      </c>
      <c r="BI284" s="137">
        <f>K284*AP284</f>
        <v>0</v>
      </c>
      <c r="BJ284" s="137">
        <f>K284*L284</f>
        <v>0</v>
      </c>
      <c r="BK284" s="137" t="s">
        <v>750</v>
      </c>
      <c r="BL284" s="137">
        <v>766</v>
      </c>
    </row>
    <row r="285" spans="1:64">
      <c r="A285" s="130"/>
      <c r="D285" s="157" t="s">
        <v>1623</v>
      </c>
      <c r="I285" s="156"/>
      <c r="K285" s="155">
        <v>1</v>
      </c>
      <c r="O285" s="154"/>
      <c r="P285" s="130"/>
    </row>
    <row r="286" spans="1:64">
      <c r="A286" s="142" t="s">
        <v>33</v>
      </c>
      <c r="B286" s="141" t="s">
        <v>1339</v>
      </c>
      <c r="C286" s="141" t="s">
        <v>1622</v>
      </c>
      <c r="D286" s="243" t="s">
        <v>1621</v>
      </c>
      <c r="E286" s="243"/>
      <c r="F286" s="243"/>
      <c r="G286" s="243"/>
      <c r="H286" s="243"/>
      <c r="I286" s="243"/>
      <c r="J286" s="141" t="s">
        <v>722</v>
      </c>
      <c r="K286" s="137">
        <v>3</v>
      </c>
      <c r="L286" s="203">
        <v>0</v>
      </c>
      <c r="M286" s="137">
        <f>K286*L286</f>
        <v>0</v>
      </c>
      <c r="N286" s="137">
        <v>0</v>
      </c>
      <c r="O286" s="140" t="s">
        <v>1340</v>
      </c>
      <c r="P286" s="130"/>
      <c r="Z286" s="137">
        <f>IF(AQ286="5",BJ286,0)</f>
        <v>0</v>
      </c>
      <c r="AB286" s="137">
        <f>IF(AQ286="1",BH286,0)</f>
        <v>0</v>
      </c>
      <c r="AC286" s="137">
        <f>IF(AQ286="1",BI286,0)</f>
        <v>0</v>
      </c>
      <c r="AD286" s="137">
        <f>IF(AQ286="7",BH286,0)</f>
        <v>0</v>
      </c>
      <c r="AE286" s="137">
        <f>IF(AQ286="7",BI286,0)</f>
        <v>0</v>
      </c>
      <c r="AF286" s="137">
        <f>IF(AQ286="2",BH286,0)</f>
        <v>0</v>
      </c>
      <c r="AG286" s="137">
        <f>IF(AQ286="2",BI286,0)</f>
        <v>0</v>
      </c>
      <c r="AH286" s="137">
        <f>IF(AQ286="0",BJ286,0)</f>
        <v>0</v>
      </c>
      <c r="AI286" s="138" t="s">
        <v>1339</v>
      </c>
      <c r="AJ286" s="137">
        <f>IF(AN286=0,M286,0)</f>
        <v>0</v>
      </c>
      <c r="AK286" s="137">
        <f>IF(AN286=15,M286,0)</f>
        <v>0</v>
      </c>
      <c r="AL286" s="137">
        <f>IF(AN286=21,M286,0)</f>
        <v>0</v>
      </c>
      <c r="AN286" s="137">
        <v>21</v>
      </c>
      <c r="AO286" s="137">
        <f>L286*0</f>
        <v>0</v>
      </c>
      <c r="AP286" s="137">
        <f>L286*(1-0)</f>
        <v>0</v>
      </c>
      <c r="AQ286" s="139" t="s">
        <v>352</v>
      </c>
      <c r="AV286" s="137">
        <f>AW286+AX286</f>
        <v>0</v>
      </c>
      <c r="AW286" s="137">
        <f>K286*AO286</f>
        <v>0</v>
      </c>
      <c r="AX286" s="137">
        <f>K286*AP286</f>
        <v>0</v>
      </c>
      <c r="AY286" s="139" t="s">
        <v>1595</v>
      </c>
      <c r="AZ286" s="139" t="s">
        <v>1551</v>
      </c>
      <c r="BA286" s="138" t="s">
        <v>1336</v>
      </c>
      <c r="BC286" s="137">
        <f>AW286+AX286</f>
        <v>0</v>
      </c>
      <c r="BD286" s="137">
        <f>L286/(100-BE286)*100</f>
        <v>0</v>
      </c>
      <c r="BE286" s="137">
        <v>0</v>
      </c>
      <c r="BF286" s="137">
        <f>286</f>
        <v>286</v>
      </c>
      <c r="BH286" s="137">
        <f>K286*AO286</f>
        <v>0</v>
      </c>
      <c r="BI286" s="137">
        <f>K286*AP286</f>
        <v>0</v>
      </c>
      <c r="BJ286" s="137">
        <f>K286*L286</f>
        <v>0</v>
      </c>
      <c r="BK286" s="137" t="s">
        <v>442</v>
      </c>
      <c r="BL286" s="137">
        <v>766</v>
      </c>
    </row>
    <row r="287" spans="1:64">
      <c r="A287" s="130"/>
      <c r="D287" s="157" t="s">
        <v>362</v>
      </c>
      <c r="I287" s="156"/>
      <c r="K287" s="155">
        <v>3</v>
      </c>
      <c r="O287" s="154"/>
      <c r="P287" s="130"/>
    </row>
    <row r="288" spans="1:64">
      <c r="A288" s="142" t="s">
        <v>24</v>
      </c>
      <c r="B288" s="141" t="s">
        <v>1339</v>
      </c>
      <c r="C288" s="141" t="s">
        <v>1620</v>
      </c>
      <c r="D288" s="243" t="s">
        <v>1619</v>
      </c>
      <c r="E288" s="243"/>
      <c r="F288" s="243"/>
      <c r="G288" s="243"/>
      <c r="H288" s="243"/>
      <c r="I288" s="243"/>
      <c r="J288" s="141" t="s">
        <v>722</v>
      </c>
      <c r="K288" s="137">
        <v>3</v>
      </c>
      <c r="L288" s="203">
        <v>0</v>
      </c>
      <c r="M288" s="137">
        <f>K288*L288</f>
        <v>0</v>
      </c>
      <c r="N288" s="137">
        <v>8.0000000000000004E-4</v>
      </c>
      <c r="O288" s="140" t="s">
        <v>1340</v>
      </c>
      <c r="P288" s="130"/>
      <c r="Z288" s="137">
        <f>IF(AQ288="5",BJ288,0)</f>
        <v>0</v>
      </c>
      <c r="AB288" s="137">
        <f>IF(AQ288="1",BH288,0)</f>
        <v>0</v>
      </c>
      <c r="AC288" s="137">
        <f>IF(AQ288="1",BI288,0)</f>
        <v>0</v>
      </c>
      <c r="AD288" s="137">
        <f>IF(AQ288="7",BH288,0)</f>
        <v>0</v>
      </c>
      <c r="AE288" s="137">
        <f>IF(AQ288="7",BI288,0)</f>
        <v>0</v>
      </c>
      <c r="AF288" s="137">
        <f>IF(AQ288="2",BH288,0)</f>
        <v>0</v>
      </c>
      <c r="AG288" s="137">
        <f>IF(AQ288="2",BI288,0)</f>
        <v>0</v>
      </c>
      <c r="AH288" s="137">
        <f>IF(AQ288="0",BJ288,0)</f>
        <v>0</v>
      </c>
      <c r="AI288" s="138" t="s">
        <v>1339</v>
      </c>
      <c r="AJ288" s="137">
        <f>IF(AN288=0,M288,0)</f>
        <v>0</v>
      </c>
      <c r="AK288" s="137">
        <f>IF(AN288=15,M288,0)</f>
        <v>0</v>
      </c>
      <c r="AL288" s="137">
        <f>IF(AN288=21,M288,0)</f>
        <v>0</v>
      </c>
      <c r="AN288" s="137">
        <v>21</v>
      </c>
      <c r="AO288" s="137">
        <f>L288*1</f>
        <v>0</v>
      </c>
      <c r="AP288" s="137">
        <f>L288*(1-1)</f>
        <v>0</v>
      </c>
      <c r="AQ288" s="139" t="s">
        <v>352</v>
      </c>
      <c r="AV288" s="137">
        <f>AW288+AX288</f>
        <v>0</v>
      </c>
      <c r="AW288" s="137">
        <f>K288*AO288</f>
        <v>0</v>
      </c>
      <c r="AX288" s="137">
        <f>K288*AP288</f>
        <v>0</v>
      </c>
      <c r="AY288" s="139" t="s">
        <v>1595</v>
      </c>
      <c r="AZ288" s="139" t="s">
        <v>1551</v>
      </c>
      <c r="BA288" s="138" t="s">
        <v>1336</v>
      </c>
      <c r="BC288" s="137">
        <f>AW288+AX288</f>
        <v>0</v>
      </c>
      <c r="BD288" s="137">
        <f>L288/(100-BE288)*100</f>
        <v>0</v>
      </c>
      <c r="BE288" s="137">
        <v>0</v>
      </c>
      <c r="BF288" s="137">
        <f>288</f>
        <v>288</v>
      </c>
      <c r="BH288" s="137">
        <f>K288*AO288</f>
        <v>0</v>
      </c>
      <c r="BI288" s="137">
        <f>K288*AP288</f>
        <v>0</v>
      </c>
      <c r="BJ288" s="137">
        <f>K288*L288</f>
        <v>0</v>
      </c>
      <c r="BK288" s="137" t="s">
        <v>750</v>
      </c>
      <c r="BL288" s="137">
        <v>766</v>
      </c>
    </row>
    <row r="289" spans="1:64">
      <c r="A289" s="130"/>
      <c r="D289" s="157" t="s">
        <v>362</v>
      </c>
      <c r="I289" s="156"/>
      <c r="K289" s="155">
        <v>3</v>
      </c>
      <c r="O289" s="154"/>
      <c r="P289" s="130"/>
    </row>
    <row r="290" spans="1:64">
      <c r="A290" s="142" t="s">
        <v>19</v>
      </c>
      <c r="B290" s="141" t="s">
        <v>1339</v>
      </c>
      <c r="C290" s="141" t="s">
        <v>1618</v>
      </c>
      <c r="D290" s="243" t="s">
        <v>1617</v>
      </c>
      <c r="E290" s="243"/>
      <c r="F290" s="243"/>
      <c r="G290" s="243"/>
      <c r="H290" s="243"/>
      <c r="I290" s="243"/>
      <c r="J290" s="141" t="s">
        <v>722</v>
      </c>
      <c r="K290" s="137">
        <v>1</v>
      </c>
      <c r="L290" s="203">
        <v>0</v>
      </c>
      <c r="M290" s="137">
        <f>K290*L290</f>
        <v>0</v>
      </c>
      <c r="N290" s="137">
        <v>2.7999999999999998E-4</v>
      </c>
      <c r="O290" s="140" t="s">
        <v>1340</v>
      </c>
      <c r="P290" s="130"/>
      <c r="Z290" s="137">
        <f>IF(AQ290="5",BJ290,0)</f>
        <v>0</v>
      </c>
      <c r="AB290" s="137">
        <f>IF(AQ290="1",BH290,0)</f>
        <v>0</v>
      </c>
      <c r="AC290" s="137">
        <f>IF(AQ290="1",BI290,0)</f>
        <v>0</v>
      </c>
      <c r="AD290" s="137">
        <f>IF(AQ290="7",BH290,0)</f>
        <v>0</v>
      </c>
      <c r="AE290" s="137">
        <f>IF(AQ290="7",BI290,0)</f>
        <v>0</v>
      </c>
      <c r="AF290" s="137">
        <f>IF(AQ290="2",BH290,0)</f>
        <v>0</v>
      </c>
      <c r="AG290" s="137">
        <f>IF(AQ290="2",BI290,0)</f>
        <v>0</v>
      </c>
      <c r="AH290" s="137">
        <f>IF(AQ290="0",BJ290,0)</f>
        <v>0</v>
      </c>
      <c r="AI290" s="138" t="s">
        <v>1339</v>
      </c>
      <c r="AJ290" s="137">
        <f>IF(AN290=0,M290,0)</f>
        <v>0</v>
      </c>
      <c r="AK290" s="137">
        <f>IF(AN290=15,M290,0)</f>
        <v>0</v>
      </c>
      <c r="AL290" s="137">
        <f>IF(AN290=21,M290,0)</f>
        <v>0</v>
      </c>
      <c r="AN290" s="137">
        <v>21</v>
      </c>
      <c r="AO290" s="137">
        <f>L290*0.00418657565415245</f>
        <v>0</v>
      </c>
      <c r="AP290" s="137">
        <f>L290*(1-0.00418657565415245)</f>
        <v>0</v>
      </c>
      <c r="AQ290" s="139" t="s">
        <v>352</v>
      </c>
      <c r="AV290" s="137">
        <f>AW290+AX290</f>
        <v>0</v>
      </c>
      <c r="AW290" s="137">
        <f>K290*AO290</f>
        <v>0</v>
      </c>
      <c r="AX290" s="137">
        <f>K290*AP290</f>
        <v>0</v>
      </c>
      <c r="AY290" s="139" t="s">
        <v>1595</v>
      </c>
      <c r="AZ290" s="139" t="s">
        <v>1551</v>
      </c>
      <c r="BA290" s="138" t="s">
        <v>1336</v>
      </c>
      <c r="BC290" s="137">
        <f>AW290+AX290</f>
        <v>0</v>
      </c>
      <c r="BD290" s="137">
        <f>L290/(100-BE290)*100</f>
        <v>0</v>
      </c>
      <c r="BE290" s="137">
        <v>0</v>
      </c>
      <c r="BF290" s="137">
        <f>290</f>
        <v>290</v>
      </c>
      <c r="BH290" s="137">
        <f>K290*AO290</f>
        <v>0</v>
      </c>
      <c r="BI290" s="137">
        <f>K290*AP290</f>
        <v>0</v>
      </c>
      <c r="BJ290" s="137">
        <f>K290*L290</f>
        <v>0</v>
      </c>
      <c r="BK290" s="137" t="s">
        <v>442</v>
      </c>
      <c r="BL290" s="137">
        <v>766</v>
      </c>
    </row>
    <row r="291" spans="1:64" ht="14.65" customHeight="1">
      <c r="A291" s="130"/>
      <c r="D291" s="251" t="s">
        <v>1616</v>
      </c>
      <c r="E291" s="251"/>
      <c r="F291" s="251"/>
      <c r="G291" s="251"/>
      <c r="H291" s="251"/>
      <c r="I291" s="251"/>
      <c r="J291" s="251"/>
      <c r="K291" s="251"/>
      <c r="L291" s="251"/>
      <c r="M291" s="251"/>
      <c r="N291" s="251"/>
      <c r="O291" s="251"/>
      <c r="P291" s="130"/>
    </row>
    <row r="292" spans="1:64">
      <c r="A292" s="130"/>
      <c r="D292" s="157" t="s">
        <v>2</v>
      </c>
      <c r="I292" s="156"/>
      <c r="K292" s="155">
        <v>1</v>
      </c>
      <c r="O292" s="154"/>
      <c r="P292" s="130"/>
    </row>
    <row r="293" spans="1:64">
      <c r="A293" s="142" t="s">
        <v>15</v>
      </c>
      <c r="B293" s="141" t="s">
        <v>1339</v>
      </c>
      <c r="C293" s="141" t="s">
        <v>1615</v>
      </c>
      <c r="D293" s="243" t="s">
        <v>1614</v>
      </c>
      <c r="E293" s="243"/>
      <c r="F293" s="243"/>
      <c r="G293" s="243"/>
      <c r="H293" s="243"/>
      <c r="I293" s="243"/>
      <c r="J293" s="141" t="s">
        <v>722</v>
      </c>
      <c r="K293" s="137">
        <v>1</v>
      </c>
      <c r="L293" s="203">
        <v>0</v>
      </c>
      <c r="M293" s="137">
        <f>K293*L293</f>
        <v>0</v>
      </c>
      <c r="N293" s="137">
        <v>2.0500000000000001E-2</v>
      </c>
      <c r="O293" s="140" t="s">
        <v>1340</v>
      </c>
      <c r="P293" s="130"/>
      <c r="Z293" s="137">
        <f>IF(AQ293="5",BJ293,0)</f>
        <v>0</v>
      </c>
      <c r="AB293" s="137">
        <f>IF(AQ293="1",BH293,0)</f>
        <v>0</v>
      </c>
      <c r="AC293" s="137">
        <f>IF(AQ293="1",BI293,0)</f>
        <v>0</v>
      </c>
      <c r="AD293" s="137">
        <f>IF(AQ293="7",BH293,0)</f>
        <v>0</v>
      </c>
      <c r="AE293" s="137">
        <f>IF(AQ293="7",BI293,0)</f>
        <v>0</v>
      </c>
      <c r="AF293" s="137">
        <f>IF(AQ293="2",BH293,0)</f>
        <v>0</v>
      </c>
      <c r="AG293" s="137">
        <f>IF(AQ293="2",BI293,0)</f>
        <v>0</v>
      </c>
      <c r="AH293" s="137">
        <f>IF(AQ293="0",BJ293,0)</f>
        <v>0</v>
      </c>
      <c r="AI293" s="138" t="s">
        <v>1339</v>
      </c>
      <c r="AJ293" s="137">
        <f>IF(AN293=0,M293,0)</f>
        <v>0</v>
      </c>
      <c r="AK293" s="137">
        <f>IF(AN293=15,M293,0)</f>
        <v>0</v>
      </c>
      <c r="AL293" s="137">
        <f>IF(AN293=21,M293,0)</f>
        <v>0</v>
      </c>
      <c r="AN293" s="137">
        <v>21</v>
      </c>
      <c r="AO293" s="137">
        <f>L293*1</f>
        <v>0</v>
      </c>
      <c r="AP293" s="137">
        <f>L293*(1-1)</f>
        <v>0</v>
      </c>
      <c r="AQ293" s="139" t="s">
        <v>352</v>
      </c>
      <c r="AV293" s="137">
        <f>AW293+AX293</f>
        <v>0</v>
      </c>
      <c r="AW293" s="137">
        <f>K293*AO293</f>
        <v>0</v>
      </c>
      <c r="AX293" s="137">
        <f>K293*AP293</f>
        <v>0</v>
      </c>
      <c r="AY293" s="139" t="s">
        <v>1595</v>
      </c>
      <c r="AZ293" s="139" t="s">
        <v>1551</v>
      </c>
      <c r="BA293" s="138" t="s">
        <v>1336</v>
      </c>
      <c r="BC293" s="137">
        <f>AW293+AX293</f>
        <v>0</v>
      </c>
      <c r="BD293" s="137">
        <f>L293/(100-BE293)*100</f>
        <v>0</v>
      </c>
      <c r="BE293" s="137">
        <v>0</v>
      </c>
      <c r="BF293" s="137">
        <f>293</f>
        <v>293</v>
      </c>
      <c r="BH293" s="137">
        <f>K293*AO293</f>
        <v>0</v>
      </c>
      <c r="BI293" s="137">
        <f>K293*AP293</f>
        <v>0</v>
      </c>
      <c r="BJ293" s="137">
        <f>K293*L293</f>
        <v>0</v>
      </c>
      <c r="BK293" s="137" t="s">
        <v>750</v>
      </c>
      <c r="BL293" s="137">
        <v>766</v>
      </c>
    </row>
    <row r="294" spans="1:64">
      <c r="A294" s="130"/>
      <c r="D294" s="157" t="s">
        <v>2</v>
      </c>
      <c r="I294" s="156"/>
      <c r="K294" s="155">
        <v>1</v>
      </c>
      <c r="O294" s="154"/>
      <c r="P294" s="130"/>
    </row>
    <row r="295" spans="1:64">
      <c r="A295" s="142" t="s">
        <v>11</v>
      </c>
      <c r="B295" s="141" t="s">
        <v>1339</v>
      </c>
      <c r="C295" s="141" t="s">
        <v>1613</v>
      </c>
      <c r="D295" s="243" t="s">
        <v>1612</v>
      </c>
      <c r="E295" s="243"/>
      <c r="F295" s="243"/>
      <c r="G295" s="243"/>
      <c r="H295" s="243"/>
      <c r="I295" s="243"/>
      <c r="J295" s="141" t="s">
        <v>722</v>
      </c>
      <c r="K295" s="137">
        <v>1</v>
      </c>
      <c r="L295" s="203">
        <v>0</v>
      </c>
      <c r="M295" s="137">
        <f>K295*L295</f>
        <v>0</v>
      </c>
      <c r="N295" s="137">
        <v>1E-3</v>
      </c>
      <c r="O295" s="140" t="s">
        <v>1340</v>
      </c>
      <c r="P295" s="130"/>
      <c r="Z295" s="137">
        <f>IF(AQ295="5",BJ295,0)</f>
        <v>0</v>
      </c>
      <c r="AB295" s="137">
        <f>IF(AQ295="1",BH295,0)</f>
        <v>0</v>
      </c>
      <c r="AC295" s="137">
        <f>IF(AQ295="1",BI295,0)</f>
        <v>0</v>
      </c>
      <c r="AD295" s="137">
        <f>IF(AQ295="7",BH295,0)</f>
        <v>0</v>
      </c>
      <c r="AE295" s="137">
        <f>IF(AQ295="7",BI295,0)</f>
        <v>0</v>
      </c>
      <c r="AF295" s="137">
        <f>IF(AQ295="2",BH295,0)</f>
        <v>0</v>
      </c>
      <c r="AG295" s="137">
        <f>IF(AQ295="2",BI295,0)</f>
        <v>0</v>
      </c>
      <c r="AH295" s="137">
        <f>IF(AQ295="0",BJ295,0)</f>
        <v>0</v>
      </c>
      <c r="AI295" s="138" t="s">
        <v>1339</v>
      </c>
      <c r="AJ295" s="137">
        <f>IF(AN295=0,M295,0)</f>
        <v>0</v>
      </c>
      <c r="AK295" s="137">
        <f>IF(AN295=15,M295,0)</f>
        <v>0</v>
      </c>
      <c r="AL295" s="137">
        <f>IF(AN295=21,M295,0)</f>
        <v>0</v>
      </c>
      <c r="AN295" s="137">
        <v>21</v>
      </c>
      <c r="AO295" s="137">
        <f>L295*1</f>
        <v>0</v>
      </c>
      <c r="AP295" s="137">
        <f>L295*(1-1)</f>
        <v>0</v>
      </c>
      <c r="AQ295" s="139" t="s">
        <v>352</v>
      </c>
      <c r="AV295" s="137">
        <f>AW295+AX295</f>
        <v>0</v>
      </c>
      <c r="AW295" s="137">
        <f>K295*AO295</f>
        <v>0</v>
      </c>
      <c r="AX295" s="137">
        <f>K295*AP295</f>
        <v>0</v>
      </c>
      <c r="AY295" s="139" t="s">
        <v>1595</v>
      </c>
      <c r="AZ295" s="139" t="s">
        <v>1551</v>
      </c>
      <c r="BA295" s="138" t="s">
        <v>1336</v>
      </c>
      <c r="BC295" s="137">
        <f>AW295+AX295</f>
        <v>0</v>
      </c>
      <c r="BD295" s="137">
        <f>L295/(100-BE295)*100</f>
        <v>0</v>
      </c>
      <c r="BE295" s="137">
        <v>0</v>
      </c>
      <c r="BF295" s="137">
        <f>295</f>
        <v>295</v>
      </c>
      <c r="BH295" s="137">
        <f>K295*AO295</f>
        <v>0</v>
      </c>
      <c r="BI295" s="137">
        <f>K295*AP295</f>
        <v>0</v>
      </c>
      <c r="BJ295" s="137">
        <f>K295*L295</f>
        <v>0</v>
      </c>
      <c r="BK295" s="137" t="s">
        <v>750</v>
      </c>
      <c r="BL295" s="137">
        <v>766</v>
      </c>
    </row>
    <row r="296" spans="1:64">
      <c r="A296" s="130"/>
      <c r="D296" s="157" t="s">
        <v>2</v>
      </c>
      <c r="I296" s="156"/>
      <c r="K296" s="155">
        <v>1</v>
      </c>
      <c r="O296" s="154"/>
      <c r="P296" s="130"/>
    </row>
    <row r="297" spans="1:64">
      <c r="A297" s="142" t="s">
        <v>219</v>
      </c>
      <c r="B297" s="141" t="s">
        <v>1339</v>
      </c>
      <c r="C297" s="141" t="s">
        <v>1611</v>
      </c>
      <c r="D297" s="243" t="s">
        <v>1610</v>
      </c>
      <c r="E297" s="243"/>
      <c r="F297" s="243"/>
      <c r="G297" s="243"/>
      <c r="H297" s="243"/>
      <c r="I297" s="243"/>
      <c r="J297" s="141" t="s">
        <v>722</v>
      </c>
      <c r="K297" s="137">
        <v>1</v>
      </c>
      <c r="L297" s="203">
        <v>0</v>
      </c>
      <c r="M297" s="137">
        <f>K297*L297</f>
        <v>0</v>
      </c>
      <c r="N297" s="137">
        <v>2.7999999999999998E-4</v>
      </c>
      <c r="O297" s="140" t="s">
        <v>1340</v>
      </c>
      <c r="P297" s="130"/>
      <c r="Z297" s="137">
        <f>IF(AQ297="5",BJ297,0)</f>
        <v>0</v>
      </c>
      <c r="AB297" s="137">
        <f>IF(AQ297="1",BH297,0)</f>
        <v>0</v>
      </c>
      <c r="AC297" s="137">
        <f>IF(AQ297="1",BI297,0)</f>
        <v>0</v>
      </c>
      <c r="AD297" s="137">
        <f>IF(AQ297="7",BH297,0)</f>
        <v>0</v>
      </c>
      <c r="AE297" s="137">
        <f>IF(AQ297="7",BI297,0)</f>
        <v>0</v>
      </c>
      <c r="AF297" s="137">
        <f>IF(AQ297="2",BH297,0)</f>
        <v>0</v>
      </c>
      <c r="AG297" s="137">
        <f>IF(AQ297="2",BI297,0)</f>
        <v>0</v>
      </c>
      <c r="AH297" s="137">
        <f>IF(AQ297="0",BJ297,0)</f>
        <v>0</v>
      </c>
      <c r="AI297" s="138" t="s">
        <v>1339</v>
      </c>
      <c r="AJ297" s="137">
        <f>IF(AN297=0,M297,0)</f>
        <v>0</v>
      </c>
      <c r="AK297" s="137">
        <f>IF(AN297=15,M297,0)</f>
        <v>0</v>
      </c>
      <c r="AL297" s="137">
        <f>IF(AN297=21,M297,0)</f>
        <v>0</v>
      </c>
      <c r="AN297" s="137">
        <v>21</v>
      </c>
      <c r="AO297" s="137">
        <f>L297*0.00400871459694989</f>
        <v>0</v>
      </c>
      <c r="AP297" s="137">
        <f>L297*(1-0.00400871459694989)</f>
        <v>0</v>
      </c>
      <c r="AQ297" s="139" t="s">
        <v>352</v>
      </c>
      <c r="AV297" s="137">
        <f>AW297+AX297</f>
        <v>0</v>
      </c>
      <c r="AW297" s="137">
        <f>K297*AO297</f>
        <v>0</v>
      </c>
      <c r="AX297" s="137">
        <f>K297*AP297</f>
        <v>0</v>
      </c>
      <c r="AY297" s="139" t="s">
        <v>1595</v>
      </c>
      <c r="AZ297" s="139" t="s">
        <v>1551</v>
      </c>
      <c r="BA297" s="138" t="s">
        <v>1336</v>
      </c>
      <c r="BC297" s="137">
        <f>AW297+AX297</f>
        <v>0</v>
      </c>
      <c r="BD297" s="137">
        <f>L297/(100-BE297)*100</f>
        <v>0</v>
      </c>
      <c r="BE297" s="137">
        <v>0</v>
      </c>
      <c r="BF297" s="137">
        <f>297</f>
        <v>297</v>
      </c>
      <c r="BH297" s="137">
        <f>K297*AO297</f>
        <v>0</v>
      </c>
      <c r="BI297" s="137">
        <f>K297*AP297</f>
        <v>0</v>
      </c>
      <c r="BJ297" s="137">
        <f>K297*L297</f>
        <v>0</v>
      </c>
      <c r="BK297" s="137" t="s">
        <v>442</v>
      </c>
      <c r="BL297" s="137">
        <v>766</v>
      </c>
    </row>
    <row r="298" spans="1:64" ht="14.65" customHeight="1">
      <c r="A298" s="130"/>
      <c r="D298" s="251" t="s">
        <v>1609</v>
      </c>
      <c r="E298" s="251"/>
      <c r="F298" s="251"/>
      <c r="G298" s="251"/>
      <c r="H298" s="251"/>
      <c r="I298" s="251"/>
      <c r="J298" s="251"/>
      <c r="K298" s="251"/>
      <c r="L298" s="251"/>
      <c r="M298" s="251"/>
      <c r="N298" s="251"/>
      <c r="O298" s="251"/>
      <c r="P298" s="130"/>
    </row>
    <row r="299" spans="1:64">
      <c r="A299" s="130"/>
      <c r="D299" s="157" t="s">
        <v>2</v>
      </c>
      <c r="I299" s="156"/>
      <c r="K299" s="155">
        <v>1</v>
      </c>
      <c r="O299" s="154"/>
      <c r="P299" s="130"/>
    </row>
    <row r="300" spans="1:64">
      <c r="A300" s="142" t="s">
        <v>882</v>
      </c>
      <c r="B300" s="141" t="s">
        <v>1339</v>
      </c>
      <c r="C300" s="141" t="s">
        <v>1608</v>
      </c>
      <c r="D300" s="243" t="s">
        <v>1607</v>
      </c>
      <c r="E300" s="243"/>
      <c r="F300" s="243"/>
      <c r="G300" s="243"/>
      <c r="H300" s="243"/>
      <c r="I300" s="243"/>
      <c r="J300" s="141" t="s">
        <v>722</v>
      </c>
      <c r="K300" s="137">
        <v>1</v>
      </c>
      <c r="L300" s="203">
        <v>0</v>
      </c>
      <c r="M300" s="137">
        <f>K300*L300</f>
        <v>0</v>
      </c>
      <c r="N300" s="137">
        <v>1.9E-2</v>
      </c>
      <c r="O300" s="140" t="s">
        <v>1340</v>
      </c>
      <c r="P300" s="130"/>
      <c r="Z300" s="137">
        <f>IF(AQ300="5",BJ300,0)</f>
        <v>0</v>
      </c>
      <c r="AB300" s="137">
        <f>IF(AQ300="1",BH300,0)</f>
        <v>0</v>
      </c>
      <c r="AC300" s="137">
        <f>IF(AQ300="1",BI300,0)</f>
        <v>0</v>
      </c>
      <c r="AD300" s="137">
        <f>IF(AQ300="7",BH300,0)</f>
        <v>0</v>
      </c>
      <c r="AE300" s="137">
        <f>IF(AQ300="7",BI300,0)</f>
        <v>0</v>
      </c>
      <c r="AF300" s="137">
        <f>IF(AQ300="2",BH300,0)</f>
        <v>0</v>
      </c>
      <c r="AG300" s="137">
        <f>IF(AQ300="2",BI300,0)</f>
        <v>0</v>
      </c>
      <c r="AH300" s="137">
        <f>IF(AQ300="0",BJ300,0)</f>
        <v>0</v>
      </c>
      <c r="AI300" s="138" t="s">
        <v>1339</v>
      </c>
      <c r="AJ300" s="137">
        <f>IF(AN300=0,M300,0)</f>
        <v>0</v>
      </c>
      <c r="AK300" s="137">
        <f>IF(AN300=15,M300,0)</f>
        <v>0</v>
      </c>
      <c r="AL300" s="137">
        <f>IF(AN300=21,M300,0)</f>
        <v>0</v>
      </c>
      <c r="AN300" s="137">
        <v>21</v>
      </c>
      <c r="AO300" s="137">
        <f>L300*1</f>
        <v>0</v>
      </c>
      <c r="AP300" s="137">
        <f>L300*(1-1)</f>
        <v>0</v>
      </c>
      <c r="AQ300" s="139" t="s">
        <v>352</v>
      </c>
      <c r="AV300" s="137">
        <f>AW300+AX300</f>
        <v>0</v>
      </c>
      <c r="AW300" s="137">
        <f>K300*AO300</f>
        <v>0</v>
      </c>
      <c r="AX300" s="137">
        <f>K300*AP300</f>
        <v>0</v>
      </c>
      <c r="AY300" s="139" t="s">
        <v>1595</v>
      </c>
      <c r="AZ300" s="139" t="s">
        <v>1551</v>
      </c>
      <c r="BA300" s="138" t="s">
        <v>1336</v>
      </c>
      <c r="BC300" s="137">
        <f>AW300+AX300</f>
        <v>0</v>
      </c>
      <c r="BD300" s="137">
        <f>L300/(100-BE300)*100</f>
        <v>0</v>
      </c>
      <c r="BE300" s="137">
        <v>0</v>
      </c>
      <c r="BF300" s="137">
        <f>300</f>
        <v>300</v>
      </c>
      <c r="BH300" s="137">
        <f>K300*AO300</f>
        <v>0</v>
      </c>
      <c r="BI300" s="137">
        <f>K300*AP300</f>
        <v>0</v>
      </c>
      <c r="BJ300" s="137">
        <f>K300*L300</f>
        <v>0</v>
      </c>
      <c r="BK300" s="137" t="s">
        <v>750</v>
      </c>
      <c r="BL300" s="137">
        <v>766</v>
      </c>
    </row>
    <row r="301" spans="1:64">
      <c r="A301" s="130"/>
      <c r="D301" s="157" t="s">
        <v>1606</v>
      </c>
      <c r="I301" s="156"/>
      <c r="K301" s="155">
        <v>1</v>
      </c>
      <c r="O301" s="154"/>
      <c r="P301" s="130"/>
    </row>
    <row r="302" spans="1:64">
      <c r="A302" s="142" t="s">
        <v>215</v>
      </c>
      <c r="B302" s="141" t="s">
        <v>1339</v>
      </c>
      <c r="C302" s="141" t="s">
        <v>1605</v>
      </c>
      <c r="D302" s="243" t="s">
        <v>1604</v>
      </c>
      <c r="E302" s="243"/>
      <c r="F302" s="243"/>
      <c r="G302" s="243"/>
      <c r="H302" s="243"/>
      <c r="I302" s="243"/>
      <c r="J302" s="141" t="s">
        <v>691</v>
      </c>
      <c r="K302" s="137">
        <v>0.6724</v>
      </c>
      <c r="L302" s="203">
        <v>0</v>
      </c>
      <c r="M302" s="137">
        <f>K302*L302</f>
        <v>0</v>
      </c>
      <c r="N302" s="137">
        <v>0.05</v>
      </c>
      <c r="O302" s="140" t="s">
        <v>1302</v>
      </c>
      <c r="P302" s="130"/>
      <c r="Z302" s="137">
        <f>IF(AQ302="5",BJ302,0)</f>
        <v>0</v>
      </c>
      <c r="AB302" s="137">
        <f>IF(AQ302="1",BH302,0)</f>
        <v>0</v>
      </c>
      <c r="AC302" s="137">
        <f>IF(AQ302="1",BI302,0)</f>
        <v>0</v>
      </c>
      <c r="AD302" s="137">
        <f>IF(AQ302="7",BH302,0)</f>
        <v>0</v>
      </c>
      <c r="AE302" s="137">
        <f>IF(AQ302="7",BI302,0)</f>
        <v>0</v>
      </c>
      <c r="AF302" s="137">
        <f>IF(AQ302="2",BH302,0)</f>
        <v>0</v>
      </c>
      <c r="AG302" s="137">
        <f>IF(AQ302="2",BI302,0)</f>
        <v>0</v>
      </c>
      <c r="AH302" s="137">
        <f>IF(AQ302="0",BJ302,0)</f>
        <v>0</v>
      </c>
      <c r="AI302" s="138" t="s">
        <v>1339</v>
      </c>
      <c r="AJ302" s="137">
        <f>IF(AN302=0,M302,0)</f>
        <v>0</v>
      </c>
      <c r="AK302" s="137">
        <f>IF(AN302=15,M302,0)</f>
        <v>0</v>
      </c>
      <c r="AL302" s="137">
        <f>IF(AN302=21,M302,0)</f>
        <v>0</v>
      </c>
      <c r="AN302" s="137">
        <v>21</v>
      </c>
      <c r="AO302" s="137">
        <f>L302*0</f>
        <v>0</v>
      </c>
      <c r="AP302" s="137">
        <f>L302*(1-0)</f>
        <v>0</v>
      </c>
      <c r="AQ302" s="139" t="s">
        <v>352</v>
      </c>
      <c r="AV302" s="137">
        <f>AW302+AX302</f>
        <v>0</v>
      </c>
      <c r="AW302" s="137">
        <f>K302*AO302</f>
        <v>0</v>
      </c>
      <c r="AX302" s="137">
        <f>K302*AP302</f>
        <v>0</v>
      </c>
      <c r="AY302" s="139" t="s">
        <v>1595</v>
      </c>
      <c r="AZ302" s="139" t="s">
        <v>1551</v>
      </c>
      <c r="BA302" s="138" t="s">
        <v>1336</v>
      </c>
      <c r="BC302" s="137">
        <f>AW302+AX302</f>
        <v>0</v>
      </c>
      <c r="BD302" s="137">
        <f>L302/(100-BE302)*100</f>
        <v>0</v>
      </c>
      <c r="BE302" s="137">
        <v>0</v>
      </c>
      <c r="BF302" s="137">
        <f>302</f>
        <v>302</v>
      </c>
      <c r="BH302" s="137">
        <f>K302*AO302</f>
        <v>0</v>
      </c>
      <c r="BI302" s="137">
        <f>K302*AP302</f>
        <v>0</v>
      </c>
      <c r="BJ302" s="137">
        <f>K302*L302</f>
        <v>0</v>
      </c>
      <c r="BK302" s="137" t="s">
        <v>442</v>
      </c>
      <c r="BL302" s="137">
        <v>766</v>
      </c>
    </row>
    <row r="303" spans="1:64" ht="14.65" customHeight="1">
      <c r="A303" s="130"/>
      <c r="D303" s="251" t="s">
        <v>1603</v>
      </c>
      <c r="E303" s="251"/>
      <c r="F303" s="251"/>
      <c r="G303" s="251"/>
      <c r="H303" s="251"/>
      <c r="I303" s="251"/>
      <c r="J303" s="251"/>
      <c r="K303" s="251"/>
      <c r="L303" s="251"/>
      <c r="M303" s="251"/>
      <c r="N303" s="251"/>
      <c r="O303" s="251"/>
      <c r="P303" s="130"/>
    </row>
    <row r="304" spans="1:64">
      <c r="A304" s="130"/>
      <c r="D304" s="157" t="s">
        <v>1602</v>
      </c>
      <c r="I304" s="156"/>
      <c r="K304" s="155">
        <v>0.6724</v>
      </c>
      <c r="O304" s="154"/>
      <c r="P304" s="130"/>
    </row>
    <row r="305" spans="1:64">
      <c r="A305" s="142" t="s">
        <v>875</v>
      </c>
      <c r="B305" s="141" t="s">
        <v>1339</v>
      </c>
      <c r="C305" s="141" t="s">
        <v>1601</v>
      </c>
      <c r="D305" s="243" t="s">
        <v>1600</v>
      </c>
      <c r="E305" s="243"/>
      <c r="F305" s="243"/>
      <c r="G305" s="243"/>
      <c r="H305" s="243"/>
      <c r="I305" s="243"/>
      <c r="J305" s="141"/>
      <c r="K305" s="137">
        <v>1</v>
      </c>
      <c r="L305" s="203">
        <v>0</v>
      </c>
      <c r="M305" s="137">
        <f>K305*L305</f>
        <v>0</v>
      </c>
      <c r="N305" s="137">
        <v>9.9000000000000005E-2</v>
      </c>
      <c r="O305" s="140" t="s">
        <v>1302</v>
      </c>
      <c r="P305" s="130"/>
      <c r="Z305" s="137">
        <f>IF(AQ305="5",BJ305,0)</f>
        <v>0</v>
      </c>
      <c r="AB305" s="137">
        <f>IF(AQ305="1",BH305,0)</f>
        <v>0</v>
      </c>
      <c r="AC305" s="137">
        <f>IF(AQ305="1",BI305,0)</f>
        <v>0</v>
      </c>
      <c r="AD305" s="137">
        <f>IF(AQ305="7",BH305,0)</f>
        <v>0</v>
      </c>
      <c r="AE305" s="137">
        <f>IF(AQ305="7",BI305,0)</f>
        <v>0</v>
      </c>
      <c r="AF305" s="137">
        <f>IF(AQ305="2",BH305,0)</f>
        <v>0</v>
      </c>
      <c r="AG305" s="137">
        <f>IF(AQ305="2",BI305,0)</f>
        <v>0</v>
      </c>
      <c r="AH305" s="137">
        <f>IF(AQ305="0",BJ305,0)</f>
        <v>0</v>
      </c>
      <c r="AI305" s="138" t="s">
        <v>1339</v>
      </c>
      <c r="AJ305" s="137">
        <f>IF(AN305=0,M305,0)</f>
        <v>0</v>
      </c>
      <c r="AK305" s="137">
        <f>IF(AN305=15,M305,0)</f>
        <v>0</v>
      </c>
      <c r="AL305" s="137">
        <f>IF(AN305=21,M305,0)</f>
        <v>0</v>
      </c>
      <c r="AN305" s="137">
        <v>21</v>
      </c>
      <c r="AO305" s="137">
        <f>L305*0</f>
        <v>0</v>
      </c>
      <c r="AP305" s="137">
        <f>L305*(1-0)</f>
        <v>0</v>
      </c>
      <c r="AQ305" s="139" t="s">
        <v>352</v>
      </c>
      <c r="AV305" s="137">
        <f>AW305+AX305</f>
        <v>0</v>
      </c>
      <c r="AW305" s="137">
        <f>K305*AO305</f>
        <v>0</v>
      </c>
      <c r="AX305" s="137">
        <f>K305*AP305</f>
        <v>0</v>
      </c>
      <c r="AY305" s="139" t="s">
        <v>1595</v>
      </c>
      <c r="AZ305" s="139" t="s">
        <v>1551</v>
      </c>
      <c r="BA305" s="138" t="s">
        <v>1336</v>
      </c>
      <c r="BC305" s="137">
        <f>AW305+AX305</f>
        <v>0</v>
      </c>
      <c r="BD305" s="137">
        <f>L305/(100-BE305)*100</f>
        <v>0</v>
      </c>
      <c r="BE305" s="137">
        <v>0</v>
      </c>
      <c r="BF305" s="137">
        <f>305</f>
        <v>305</v>
      </c>
      <c r="BH305" s="137">
        <f>K305*AO305</f>
        <v>0</v>
      </c>
      <c r="BI305" s="137">
        <f>K305*AP305</f>
        <v>0</v>
      </c>
      <c r="BJ305" s="137">
        <f>K305*L305</f>
        <v>0</v>
      </c>
      <c r="BK305" s="137" t="s">
        <v>442</v>
      </c>
      <c r="BL305" s="137">
        <v>766</v>
      </c>
    </row>
    <row r="306" spans="1:64" ht="14.65" customHeight="1">
      <c r="A306" s="130"/>
      <c r="D306" s="251" t="s">
        <v>1599</v>
      </c>
      <c r="E306" s="251"/>
      <c r="F306" s="251"/>
      <c r="G306" s="251"/>
      <c r="H306" s="251"/>
      <c r="I306" s="251"/>
      <c r="J306" s="251"/>
      <c r="K306" s="251"/>
      <c r="L306" s="251"/>
      <c r="M306" s="251"/>
      <c r="N306" s="251"/>
      <c r="O306" s="251"/>
      <c r="P306" s="130"/>
    </row>
    <row r="307" spans="1:64">
      <c r="A307" s="130"/>
      <c r="D307" s="157" t="s">
        <v>1598</v>
      </c>
      <c r="I307" s="156"/>
      <c r="K307" s="155">
        <v>1</v>
      </c>
      <c r="O307" s="154"/>
      <c r="P307" s="130"/>
    </row>
    <row r="308" spans="1:64">
      <c r="A308" s="142" t="s">
        <v>211</v>
      </c>
      <c r="B308" s="141" t="s">
        <v>1339</v>
      </c>
      <c r="C308" s="141" t="s">
        <v>1597</v>
      </c>
      <c r="D308" s="243" t="s">
        <v>1596</v>
      </c>
      <c r="E308" s="243"/>
      <c r="F308" s="243"/>
      <c r="G308" s="243"/>
      <c r="H308" s="243"/>
      <c r="I308" s="243"/>
      <c r="J308" s="141" t="s">
        <v>735</v>
      </c>
      <c r="K308" s="137">
        <v>0.15614</v>
      </c>
      <c r="L308" s="203">
        <v>0</v>
      </c>
      <c r="M308" s="137">
        <f>K308*L308</f>
        <v>0</v>
      </c>
      <c r="N308" s="137">
        <v>0</v>
      </c>
      <c r="O308" s="140" t="s">
        <v>1340</v>
      </c>
      <c r="P308" s="130"/>
      <c r="Z308" s="137">
        <f>IF(AQ308="5",BJ308,0)</f>
        <v>0</v>
      </c>
      <c r="AB308" s="137">
        <f>IF(AQ308="1",BH308,0)</f>
        <v>0</v>
      </c>
      <c r="AC308" s="137">
        <f>IF(AQ308="1",BI308,0)</f>
        <v>0</v>
      </c>
      <c r="AD308" s="137">
        <f>IF(AQ308="7",BH308,0)</f>
        <v>0</v>
      </c>
      <c r="AE308" s="137">
        <f>IF(AQ308="7",BI308,0)</f>
        <v>0</v>
      </c>
      <c r="AF308" s="137">
        <f>IF(AQ308="2",BH308,0)</f>
        <v>0</v>
      </c>
      <c r="AG308" s="137">
        <f>IF(AQ308="2",BI308,0)</f>
        <v>0</v>
      </c>
      <c r="AH308" s="137">
        <f>IF(AQ308="0",BJ308,0)</f>
        <v>0</v>
      </c>
      <c r="AI308" s="138" t="s">
        <v>1339</v>
      </c>
      <c r="AJ308" s="137">
        <f>IF(AN308=0,M308,0)</f>
        <v>0</v>
      </c>
      <c r="AK308" s="137">
        <f>IF(AN308=15,M308,0)</f>
        <v>0</v>
      </c>
      <c r="AL308" s="137">
        <f>IF(AN308=21,M308,0)</f>
        <v>0</v>
      </c>
      <c r="AN308" s="137">
        <v>21</v>
      </c>
      <c r="AO308" s="137">
        <f>L308*0</f>
        <v>0</v>
      </c>
      <c r="AP308" s="137">
        <f>L308*(1-0)</f>
        <v>0</v>
      </c>
      <c r="AQ308" s="139" t="s">
        <v>357</v>
      </c>
      <c r="AV308" s="137">
        <f>AW308+AX308</f>
        <v>0</v>
      </c>
      <c r="AW308" s="137">
        <f>K308*AO308</f>
        <v>0</v>
      </c>
      <c r="AX308" s="137">
        <f>K308*AP308</f>
        <v>0</v>
      </c>
      <c r="AY308" s="139" t="s">
        <v>1595</v>
      </c>
      <c r="AZ308" s="139" t="s">
        <v>1551</v>
      </c>
      <c r="BA308" s="138" t="s">
        <v>1336</v>
      </c>
      <c r="BC308" s="137">
        <f>AW308+AX308</f>
        <v>0</v>
      </c>
      <c r="BD308" s="137">
        <f>L308/(100-BE308)*100</f>
        <v>0</v>
      </c>
      <c r="BE308" s="137">
        <v>0</v>
      </c>
      <c r="BF308" s="137">
        <f>308</f>
        <v>308</v>
      </c>
      <c r="BH308" s="137">
        <f>K308*AO308</f>
        <v>0</v>
      </c>
      <c r="BI308" s="137">
        <f>K308*AP308</f>
        <v>0</v>
      </c>
      <c r="BJ308" s="137">
        <f>K308*L308</f>
        <v>0</v>
      </c>
      <c r="BK308" s="137" t="s">
        <v>442</v>
      </c>
      <c r="BL308" s="137">
        <v>766</v>
      </c>
    </row>
    <row r="309" spans="1:64">
      <c r="A309" s="147"/>
      <c r="B309" s="146" t="s">
        <v>1339</v>
      </c>
      <c r="C309" s="146" t="s">
        <v>1594</v>
      </c>
      <c r="D309" s="252" t="s">
        <v>1593</v>
      </c>
      <c r="E309" s="252"/>
      <c r="F309" s="252"/>
      <c r="G309" s="252"/>
      <c r="H309" s="252"/>
      <c r="I309" s="252"/>
      <c r="J309" s="145" t="s">
        <v>1305</v>
      </c>
      <c r="K309" s="145" t="s">
        <v>1305</v>
      </c>
      <c r="L309" s="145" t="s">
        <v>1305</v>
      </c>
      <c r="M309" s="143">
        <f>SUM(M310:M336)</f>
        <v>0</v>
      </c>
      <c r="N309" s="138"/>
      <c r="O309" s="144"/>
      <c r="P309" s="130"/>
      <c r="AI309" s="138" t="s">
        <v>1339</v>
      </c>
      <c r="AS309" s="143">
        <f>SUM(AJ310:AJ336)</f>
        <v>0</v>
      </c>
      <c r="AT309" s="143">
        <f>SUM(AK310:AK336)</f>
        <v>0</v>
      </c>
      <c r="AU309" s="143">
        <f>SUM(AL310:AL336)</f>
        <v>0</v>
      </c>
    </row>
    <row r="310" spans="1:64">
      <c r="A310" s="142" t="s">
        <v>870</v>
      </c>
      <c r="B310" s="141" t="s">
        <v>1339</v>
      </c>
      <c r="C310" s="141" t="s">
        <v>1592</v>
      </c>
      <c r="D310" s="243" t="s">
        <v>1591</v>
      </c>
      <c r="E310" s="243"/>
      <c r="F310" s="243"/>
      <c r="G310" s="243"/>
      <c r="H310" s="243"/>
      <c r="I310" s="243"/>
      <c r="J310" s="141" t="s">
        <v>1577</v>
      </c>
      <c r="K310" s="137">
        <v>99</v>
      </c>
      <c r="L310" s="203">
        <v>0</v>
      </c>
      <c r="M310" s="137">
        <f>K310*L310</f>
        <v>0</v>
      </c>
      <c r="N310" s="137">
        <v>5.0000000000000002E-5</v>
      </c>
      <c r="O310" s="140" t="s">
        <v>1340</v>
      </c>
      <c r="P310" s="130"/>
      <c r="Z310" s="137">
        <f>IF(AQ310="5",BJ310,0)</f>
        <v>0</v>
      </c>
      <c r="AB310" s="137">
        <f>IF(AQ310="1",BH310,0)</f>
        <v>0</v>
      </c>
      <c r="AC310" s="137">
        <f>IF(AQ310="1",BI310,0)</f>
        <v>0</v>
      </c>
      <c r="AD310" s="137">
        <f>IF(AQ310="7",BH310,0)</f>
        <v>0</v>
      </c>
      <c r="AE310" s="137">
        <f>IF(AQ310="7",BI310,0)</f>
        <v>0</v>
      </c>
      <c r="AF310" s="137">
        <f>IF(AQ310="2",BH310,0)</f>
        <v>0</v>
      </c>
      <c r="AG310" s="137">
        <f>IF(AQ310="2",BI310,0)</f>
        <v>0</v>
      </c>
      <c r="AH310" s="137">
        <f>IF(AQ310="0",BJ310,0)</f>
        <v>0</v>
      </c>
      <c r="AI310" s="138" t="s">
        <v>1339</v>
      </c>
      <c r="AJ310" s="137">
        <f>IF(AN310=0,M310,0)</f>
        <v>0</v>
      </c>
      <c r="AK310" s="137">
        <f>IF(AN310=15,M310,0)</f>
        <v>0</v>
      </c>
      <c r="AL310" s="137">
        <f>IF(AN310=21,M310,0)</f>
        <v>0</v>
      </c>
      <c r="AN310" s="137">
        <v>21</v>
      </c>
      <c r="AO310" s="137">
        <f>L310*0.178326996197719</f>
        <v>0</v>
      </c>
      <c r="AP310" s="137">
        <f>L310*(1-0.178326996197719)</f>
        <v>0</v>
      </c>
      <c r="AQ310" s="139" t="s">
        <v>352</v>
      </c>
      <c r="AV310" s="137">
        <f>AW310+AX310</f>
        <v>0</v>
      </c>
      <c r="AW310" s="137">
        <f>K310*AO310</f>
        <v>0</v>
      </c>
      <c r="AX310" s="137">
        <f>K310*AP310</f>
        <v>0</v>
      </c>
      <c r="AY310" s="139" t="s">
        <v>1552</v>
      </c>
      <c r="AZ310" s="139" t="s">
        <v>1551</v>
      </c>
      <c r="BA310" s="138" t="s">
        <v>1336</v>
      </c>
      <c r="BC310" s="137">
        <f>AW310+AX310</f>
        <v>0</v>
      </c>
      <c r="BD310" s="137">
        <f>L310/(100-BE310)*100</f>
        <v>0</v>
      </c>
      <c r="BE310" s="137">
        <v>0</v>
      </c>
      <c r="BF310" s="137">
        <f>310</f>
        <v>310</v>
      </c>
      <c r="BH310" s="137">
        <f>K310*AO310</f>
        <v>0</v>
      </c>
      <c r="BI310" s="137">
        <f>K310*AP310</f>
        <v>0</v>
      </c>
      <c r="BJ310" s="137">
        <f>K310*L310</f>
        <v>0</v>
      </c>
      <c r="BK310" s="137" t="s">
        <v>442</v>
      </c>
      <c r="BL310" s="137">
        <v>767</v>
      </c>
    </row>
    <row r="311" spans="1:64">
      <c r="A311" s="130"/>
      <c r="D311" s="157" t="s">
        <v>1590</v>
      </c>
      <c r="I311" s="156"/>
      <c r="K311" s="155">
        <v>99</v>
      </c>
      <c r="O311" s="154"/>
      <c r="P311" s="130"/>
    </row>
    <row r="312" spans="1:64">
      <c r="A312" s="142" t="s">
        <v>207</v>
      </c>
      <c r="B312" s="141" t="s">
        <v>1339</v>
      </c>
      <c r="C312" s="141" t="s">
        <v>1589</v>
      </c>
      <c r="D312" s="243" t="s">
        <v>1588</v>
      </c>
      <c r="E312" s="243"/>
      <c r="F312" s="243"/>
      <c r="G312" s="243"/>
      <c r="H312" s="243"/>
      <c r="I312" s="243"/>
      <c r="J312" s="141" t="s">
        <v>735</v>
      </c>
      <c r="K312" s="137">
        <v>9.937E-2</v>
      </c>
      <c r="L312" s="203">
        <v>0</v>
      </c>
      <c r="M312" s="137">
        <f>K312*L312</f>
        <v>0</v>
      </c>
      <c r="N312" s="137">
        <v>1</v>
      </c>
      <c r="O312" s="140" t="s">
        <v>1340</v>
      </c>
      <c r="P312" s="130"/>
      <c r="Z312" s="137">
        <f>IF(AQ312="5",BJ312,0)</f>
        <v>0</v>
      </c>
      <c r="AB312" s="137">
        <f>IF(AQ312="1",BH312,0)</f>
        <v>0</v>
      </c>
      <c r="AC312" s="137">
        <f>IF(AQ312="1",BI312,0)</f>
        <v>0</v>
      </c>
      <c r="AD312" s="137">
        <f>IF(AQ312="7",BH312,0)</f>
        <v>0</v>
      </c>
      <c r="AE312" s="137">
        <f>IF(AQ312="7",BI312,0)</f>
        <v>0</v>
      </c>
      <c r="AF312" s="137">
        <f>IF(AQ312="2",BH312,0)</f>
        <v>0</v>
      </c>
      <c r="AG312" s="137">
        <f>IF(AQ312="2",BI312,0)</f>
        <v>0</v>
      </c>
      <c r="AH312" s="137">
        <f>IF(AQ312="0",BJ312,0)</f>
        <v>0</v>
      </c>
      <c r="AI312" s="138" t="s">
        <v>1339</v>
      </c>
      <c r="AJ312" s="137">
        <f>IF(AN312=0,M312,0)</f>
        <v>0</v>
      </c>
      <c r="AK312" s="137">
        <f>IF(AN312=15,M312,0)</f>
        <v>0</v>
      </c>
      <c r="AL312" s="137">
        <f>IF(AN312=21,M312,0)</f>
        <v>0</v>
      </c>
      <c r="AN312" s="137">
        <v>21</v>
      </c>
      <c r="AO312" s="137">
        <f>L312*1</f>
        <v>0</v>
      </c>
      <c r="AP312" s="137">
        <f>L312*(1-1)</f>
        <v>0</v>
      </c>
      <c r="AQ312" s="139" t="s">
        <v>352</v>
      </c>
      <c r="AV312" s="137">
        <f>AW312+AX312</f>
        <v>0</v>
      </c>
      <c r="AW312" s="137">
        <f>K312*AO312</f>
        <v>0</v>
      </c>
      <c r="AX312" s="137">
        <f>K312*AP312</f>
        <v>0</v>
      </c>
      <c r="AY312" s="139" t="s">
        <v>1552</v>
      </c>
      <c r="AZ312" s="139" t="s">
        <v>1551</v>
      </c>
      <c r="BA312" s="138" t="s">
        <v>1336</v>
      </c>
      <c r="BC312" s="137">
        <f>AW312+AX312</f>
        <v>0</v>
      </c>
      <c r="BD312" s="137">
        <f>L312/(100-BE312)*100</f>
        <v>0</v>
      </c>
      <c r="BE312" s="137">
        <v>0</v>
      </c>
      <c r="BF312" s="137">
        <f>312</f>
        <v>312</v>
      </c>
      <c r="BH312" s="137">
        <f>K312*AO312</f>
        <v>0</v>
      </c>
      <c r="BI312" s="137">
        <f>K312*AP312</f>
        <v>0</v>
      </c>
      <c r="BJ312" s="137">
        <f>K312*L312</f>
        <v>0</v>
      </c>
      <c r="BK312" s="137" t="s">
        <v>750</v>
      </c>
      <c r="BL312" s="137">
        <v>767</v>
      </c>
    </row>
    <row r="313" spans="1:64">
      <c r="A313" s="130"/>
      <c r="D313" s="157" t="s">
        <v>1587</v>
      </c>
      <c r="I313" s="156"/>
      <c r="K313" s="155">
        <v>9.6479999999999996E-2</v>
      </c>
      <c r="O313" s="154"/>
      <c r="P313" s="130"/>
    </row>
    <row r="314" spans="1:64">
      <c r="A314" s="130"/>
      <c r="D314" s="157" t="s">
        <v>1586</v>
      </c>
      <c r="I314" s="156"/>
      <c r="K314" s="155">
        <v>2.8900000000000002E-3</v>
      </c>
      <c r="O314" s="154"/>
      <c r="P314" s="130"/>
    </row>
    <row r="315" spans="1:64">
      <c r="A315" s="142" t="s">
        <v>865</v>
      </c>
      <c r="B315" s="141" t="s">
        <v>1339</v>
      </c>
      <c r="C315" s="141" t="s">
        <v>1585</v>
      </c>
      <c r="D315" s="243" t="s">
        <v>1584</v>
      </c>
      <c r="E315" s="243"/>
      <c r="F315" s="243"/>
      <c r="G315" s="243"/>
      <c r="H315" s="243"/>
      <c r="I315" s="243"/>
      <c r="J315" s="141" t="s">
        <v>735</v>
      </c>
      <c r="K315" s="137">
        <v>6.1399999999999996E-3</v>
      </c>
      <c r="L315" s="203">
        <v>0</v>
      </c>
      <c r="M315" s="137">
        <f>K315*L315</f>
        <v>0</v>
      </c>
      <c r="N315" s="137">
        <v>1</v>
      </c>
      <c r="O315" s="140" t="s">
        <v>1340</v>
      </c>
      <c r="P315" s="130"/>
      <c r="Z315" s="137">
        <f>IF(AQ315="5",BJ315,0)</f>
        <v>0</v>
      </c>
      <c r="AB315" s="137">
        <f>IF(AQ315="1",BH315,0)</f>
        <v>0</v>
      </c>
      <c r="AC315" s="137">
        <f>IF(AQ315="1",BI315,0)</f>
        <v>0</v>
      </c>
      <c r="AD315" s="137">
        <f>IF(AQ315="7",BH315,0)</f>
        <v>0</v>
      </c>
      <c r="AE315" s="137">
        <f>IF(AQ315="7",BI315,0)</f>
        <v>0</v>
      </c>
      <c r="AF315" s="137">
        <f>IF(AQ315="2",BH315,0)</f>
        <v>0</v>
      </c>
      <c r="AG315" s="137">
        <f>IF(AQ315="2",BI315,0)</f>
        <v>0</v>
      </c>
      <c r="AH315" s="137">
        <f>IF(AQ315="0",BJ315,0)</f>
        <v>0</v>
      </c>
      <c r="AI315" s="138" t="s">
        <v>1339</v>
      </c>
      <c r="AJ315" s="137">
        <f>IF(AN315=0,M315,0)</f>
        <v>0</v>
      </c>
      <c r="AK315" s="137">
        <f>IF(AN315=15,M315,0)</f>
        <v>0</v>
      </c>
      <c r="AL315" s="137">
        <f>IF(AN315=21,M315,0)</f>
        <v>0</v>
      </c>
      <c r="AN315" s="137">
        <v>21</v>
      </c>
      <c r="AO315" s="137">
        <f>L315*1</f>
        <v>0</v>
      </c>
      <c r="AP315" s="137">
        <f>L315*(1-1)</f>
        <v>0</v>
      </c>
      <c r="AQ315" s="139" t="s">
        <v>352</v>
      </c>
      <c r="AV315" s="137">
        <f>AW315+AX315</f>
        <v>0</v>
      </c>
      <c r="AW315" s="137">
        <f>K315*AO315</f>
        <v>0</v>
      </c>
      <c r="AX315" s="137">
        <f>K315*AP315</f>
        <v>0</v>
      </c>
      <c r="AY315" s="139" t="s">
        <v>1552</v>
      </c>
      <c r="AZ315" s="139" t="s">
        <v>1551</v>
      </c>
      <c r="BA315" s="138" t="s">
        <v>1336</v>
      </c>
      <c r="BC315" s="137">
        <f>AW315+AX315</f>
        <v>0</v>
      </c>
      <c r="BD315" s="137">
        <f>L315/(100-BE315)*100</f>
        <v>0</v>
      </c>
      <c r="BE315" s="137">
        <v>0</v>
      </c>
      <c r="BF315" s="137">
        <f>315</f>
        <v>315</v>
      </c>
      <c r="BH315" s="137">
        <f>K315*AO315</f>
        <v>0</v>
      </c>
      <c r="BI315" s="137">
        <f>K315*AP315</f>
        <v>0</v>
      </c>
      <c r="BJ315" s="137">
        <f>K315*L315</f>
        <v>0</v>
      </c>
      <c r="BK315" s="137" t="s">
        <v>750</v>
      </c>
      <c r="BL315" s="137">
        <v>767</v>
      </c>
    </row>
    <row r="316" spans="1:64">
      <c r="A316" s="130"/>
      <c r="D316" s="157" t="s">
        <v>1583</v>
      </c>
      <c r="I316" s="156"/>
      <c r="K316" s="155">
        <v>6.1399999999999996E-3</v>
      </c>
      <c r="O316" s="154"/>
      <c r="P316" s="130"/>
    </row>
    <row r="317" spans="1:64">
      <c r="A317" s="142" t="s">
        <v>204</v>
      </c>
      <c r="B317" s="141" t="s">
        <v>1339</v>
      </c>
      <c r="C317" s="141" t="s">
        <v>1582</v>
      </c>
      <c r="D317" s="243" t="s">
        <v>1581</v>
      </c>
      <c r="E317" s="243"/>
      <c r="F317" s="243"/>
      <c r="G317" s="243"/>
      <c r="H317" s="243"/>
      <c r="I317" s="243"/>
      <c r="J317" s="141" t="s">
        <v>1577</v>
      </c>
      <c r="K317" s="137">
        <v>400</v>
      </c>
      <c r="L317" s="203">
        <v>0</v>
      </c>
      <c r="M317" s="137">
        <f>K317*L317</f>
        <v>0</v>
      </c>
      <c r="N317" s="137">
        <v>5.0000000000000002E-5</v>
      </c>
      <c r="O317" s="140" t="s">
        <v>1340</v>
      </c>
      <c r="P317" s="130"/>
      <c r="Z317" s="137">
        <f>IF(AQ317="5",BJ317,0)</f>
        <v>0</v>
      </c>
      <c r="AB317" s="137">
        <f>IF(AQ317="1",BH317,0)</f>
        <v>0</v>
      </c>
      <c r="AC317" s="137">
        <f>IF(AQ317="1",BI317,0)</f>
        <v>0</v>
      </c>
      <c r="AD317" s="137">
        <f>IF(AQ317="7",BH317,0)</f>
        <v>0</v>
      </c>
      <c r="AE317" s="137">
        <f>IF(AQ317="7",BI317,0)</f>
        <v>0</v>
      </c>
      <c r="AF317" s="137">
        <f>IF(AQ317="2",BH317,0)</f>
        <v>0</v>
      </c>
      <c r="AG317" s="137">
        <f>IF(AQ317="2",BI317,0)</f>
        <v>0</v>
      </c>
      <c r="AH317" s="137">
        <f>IF(AQ317="0",BJ317,0)</f>
        <v>0</v>
      </c>
      <c r="AI317" s="138" t="s">
        <v>1339</v>
      </c>
      <c r="AJ317" s="137">
        <f>IF(AN317=0,M317,0)</f>
        <v>0</v>
      </c>
      <c r="AK317" s="137">
        <f>IF(AN317=15,M317,0)</f>
        <v>0</v>
      </c>
      <c r="AL317" s="137">
        <f>IF(AN317=21,M317,0)</f>
        <v>0</v>
      </c>
      <c r="AN317" s="137">
        <v>21</v>
      </c>
      <c r="AO317" s="137">
        <f>L317*0.286348122866894</f>
        <v>0</v>
      </c>
      <c r="AP317" s="137">
        <f>L317*(1-0.286348122866894)</f>
        <v>0</v>
      </c>
      <c r="AQ317" s="139" t="s">
        <v>352</v>
      </c>
      <c r="AV317" s="137">
        <f>AW317+AX317</f>
        <v>0</v>
      </c>
      <c r="AW317" s="137">
        <f>K317*AO317</f>
        <v>0</v>
      </c>
      <c r="AX317" s="137">
        <f>K317*AP317</f>
        <v>0</v>
      </c>
      <c r="AY317" s="139" t="s">
        <v>1552</v>
      </c>
      <c r="AZ317" s="139" t="s">
        <v>1551</v>
      </c>
      <c r="BA317" s="138" t="s">
        <v>1336</v>
      </c>
      <c r="BC317" s="137">
        <f>AW317+AX317</f>
        <v>0</v>
      </c>
      <c r="BD317" s="137">
        <f>L317/(100-BE317)*100</f>
        <v>0</v>
      </c>
      <c r="BE317" s="137">
        <v>0</v>
      </c>
      <c r="BF317" s="137">
        <f>317</f>
        <v>317</v>
      </c>
      <c r="BH317" s="137">
        <f>K317*AO317</f>
        <v>0</v>
      </c>
      <c r="BI317" s="137">
        <f>K317*AP317</f>
        <v>0</v>
      </c>
      <c r="BJ317" s="137">
        <f>K317*L317</f>
        <v>0</v>
      </c>
      <c r="BK317" s="137" t="s">
        <v>442</v>
      </c>
      <c r="BL317" s="137">
        <v>767</v>
      </c>
    </row>
    <row r="318" spans="1:64">
      <c r="A318" s="130"/>
      <c r="D318" s="157" t="s">
        <v>1580</v>
      </c>
      <c r="I318" s="156"/>
      <c r="K318" s="155">
        <v>400</v>
      </c>
      <c r="O318" s="154"/>
      <c r="P318" s="130"/>
    </row>
    <row r="319" spans="1:64">
      <c r="A319" s="142" t="s">
        <v>860</v>
      </c>
      <c r="B319" s="141" t="s">
        <v>1339</v>
      </c>
      <c r="C319" s="141" t="s">
        <v>1579</v>
      </c>
      <c r="D319" s="243" t="s">
        <v>1578</v>
      </c>
      <c r="E319" s="243"/>
      <c r="F319" s="243"/>
      <c r="G319" s="243"/>
      <c r="H319" s="243"/>
      <c r="I319" s="243"/>
      <c r="J319" s="141" t="s">
        <v>1577</v>
      </c>
      <c r="K319" s="137">
        <v>400</v>
      </c>
      <c r="L319" s="203">
        <v>0</v>
      </c>
      <c r="M319" s="137">
        <f>K319*L319</f>
        <v>0</v>
      </c>
      <c r="N319" s="137">
        <v>6.0000000000000002E-5</v>
      </c>
      <c r="O319" s="140" t="s">
        <v>1340</v>
      </c>
      <c r="P319" s="130"/>
      <c r="Z319" s="137">
        <f>IF(AQ319="5",BJ319,0)</f>
        <v>0</v>
      </c>
      <c r="AB319" s="137">
        <f>IF(AQ319="1",BH319,0)</f>
        <v>0</v>
      </c>
      <c r="AC319" s="137">
        <f>IF(AQ319="1",BI319,0)</f>
        <v>0</v>
      </c>
      <c r="AD319" s="137">
        <f>IF(AQ319="7",BH319,0)</f>
        <v>0</v>
      </c>
      <c r="AE319" s="137">
        <f>IF(AQ319="7",BI319,0)</f>
        <v>0</v>
      </c>
      <c r="AF319" s="137">
        <f>IF(AQ319="2",BH319,0)</f>
        <v>0</v>
      </c>
      <c r="AG319" s="137">
        <f>IF(AQ319="2",BI319,0)</f>
        <v>0</v>
      </c>
      <c r="AH319" s="137">
        <f>IF(AQ319="0",BJ319,0)</f>
        <v>0</v>
      </c>
      <c r="AI319" s="138" t="s">
        <v>1339</v>
      </c>
      <c r="AJ319" s="137">
        <f>IF(AN319=0,M319,0)</f>
        <v>0</v>
      </c>
      <c r="AK319" s="137">
        <f>IF(AN319=15,M319,0)</f>
        <v>0</v>
      </c>
      <c r="AL319" s="137">
        <f>IF(AN319=21,M319,0)</f>
        <v>0</v>
      </c>
      <c r="AN319" s="137">
        <v>21</v>
      </c>
      <c r="AO319" s="137">
        <f>L319*0.433882848123465</f>
        <v>0</v>
      </c>
      <c r="AP319" s="137">
        <f>L319*(1-0.433882848123465)</f>
        <v>0</v>
      </c>
      <c r="AQ319" s="139" t="s">
        <v>352</v>
      </c>
      <c r="AV319" s="137">
        <f>AW319+AX319</f>
        <v>0</v>
      </c>
      <c r="AW319" s="137">
        <f>K319*AO319</f>
        <v>0</v>
      </c>
      <c r="AX319" s="137">
        <f>K319*AP319</f>
        <v>0</v>
      </c>
      <c r="AY319" s="139" t="s">
        <v>1552</v>
      </c>
      <c r="AZ319" s="139" t="s">
        <v>1551</v>
      </c>
      <c r="BA319" s="138" t="s">
        <v>1336</v>
      </c>
      <c r="BC319" s="137">
        <f>AW319+AX319</f>
        <v>0</v>
      </c>
      <c r="BD319" s="137">
        <f>L319/(100-BE319)*100</f>
        <v>0</v>
      </c>
      <c r="BE319" s="137">
        <v>0</v>
      </c>
      <c r="BF319" s="137">
        <f>319</f>
        <v>319</v>
      </c>
      <c r="BH319" s="137">
        <f>K319*AO319</f>
        <v>0</v>
      </c>
      <c r="BI319" s="137">
        <f>K319*AP319</f>
        <v>0</v>
      </c>
      <c r="BJ319" s="137">
        <f>K319*L319</f>
        <v>0</v>
      </c>
      <c r="BK319" s="137" t="s">
        <v>442</v>
      </c>
      <c r="BL319" s="137">
        <v>767</v>
      </c>
    </row>
    <row r="320" spans="1:64">
      <c r="A320" s="130"/>
      <c r="D320" s="157" t="s">
        <v>1576</v>
      </c>
      <c r="I320" s="156"/>
      <c r="K320" s="155">
        <v>400</v>
      </c>
      <c r="O320" s="154"/>
      <c r="P320" s="130"/>
    </row>
    <row r="321" spans="1:64">
      <c r="A321" s="142" t="s">
        <v>200</v>
      </c>
      <c r="B321" s="141" t="s">
        <v>1339</v>
      </c>
      <c r="C321" s="141" t="s">
        <v>1575</v>
      </c>
      <c r="D321" s="243" t="s">
        <v>1574</v>
      </c>
      <c r="E321" s="243"/>
      <c r="F321" s="243"/>
      <c r="G321" s="243"/>
      <c r="H321" s="243"/>
      <c r="I321" s="243"/>
      <c r="J321" s="141" t="s">
        <v>691</v>
      </c>
      <c r="K321" s="137">
        <v>35.9</v>
      </c>
      <c r="L321" s="203">
        <v>0</v>
      </c>
      <c r="M321" s="137">
        <f>K321*L321</f>
        <v>0</v>
      </c>
      <c r="N321" s="137">
        <v>0</v>
      </c>
      <c r="O321" s="140" t="s">
        <v>1340</v>
      </c>
      <c r="P321" s="130"/>
      <c r="Z321" s="137">
        <f>IF(AQ321="5",BJ321,0)</f>
        <v>0</v>
      </c>
      <c r="AB321" s="137">
        <f>IF(AQ321="1",BH321,0)</f>
        <v>0</v>
      </c>
      <c r="AC321" s="137">
        <f>IF(AQ321="1",BI321,0)</f>
        <v>0</v>
      </c>
      <c r="AD321" s="137">
        <f>IF(AQ321="7",BH321,0)</f>
        <v>0</v>
      </c>
      <c r="AE321" s="137">
        <f>IF(AQ321="7",BI321,0)</f>
        <v>0</v>
      </c>
      <c r="AF321" s="137">
        <f>IF(AQ321="2",BH321,0)</f>
        <v>0</v>
      </c>
      <c r="AG321" s="137">
        <f>IF(AQ321="2",BI321,0)</f>
        <v>0</v>
      </c>
      <c r="AH321" s="137">
        <f>IF(AQ321="0",BJ321,0)</f>
        <v>0</v>
      </c>
      <c r="AI321" s="138" t="s">
        <v>1339</v>
      </c>
      <c r="AJ321" s="137">
        <f>IF(AN321=0,M321,0)</f>
        <v>0</v>
      </c>
      <c r="AK321" s="137">
        <f>IF(AN321=15,M321,0)</f>
        <v>0</v>
      </c>
      <c r="AL321" s="137">
        <f>IF(AN321=21,M321,0)</f>
        <v>0</v>
      </c>
      <c r="AN321" s="137">
        <v>21</v>
      </c>
      <c r="AO321" s="137">
        <f>L321*0</f>
        <v>0</v>
      </c>
      <c r="AP321" s="137">
        <f>L321*(1-0)</f>
        <v>0</v>
      </c>
      <c r="AQ321" s="139" t="s">
        <v>352</v>
      </c>
      <c r="AV321" s="137">
        <f>AW321+AX321</f>
        <v>0</v>
      </c>
      <c r="AW321" s="137">
        <f>K321*AO321</f>
        <v>0</v>
      </c>
      <c r="AX321" s="137">
        <f>K321*AP321</f>
        <v>0</v>
      </c>
      <c r="AY321" s="139" t="s">
        <v>1552</v>
      </c>
      <c r="AZ321" s="139" t="s">
        <v>1551</v>
      </c>
      <c r="BA321" s="138" t="s">
        <v>1336</v>
      </c>
      <c r="BC321" s="137">
        <f>AW321+AX321</f>
        <v>0</v>
      </c>
      <c r="BD321" s="137">
        <f>L321/(100-BE321)*100</f>
        <v>0</v>
      </c>
      <c r="BE321" s="137">
        <v>0</v>
      </c>
      <c r="BF321" s="137">
        <f>321</f>
        <v>321</v>
      </c>
      <c r="BH321" s="137">
        <f>K321*AO321</f>
        <v>0</v>
      </c>
      <c r="BI321" s="137">
        <f>K321*AP321</f>
        <v>0</v>
      </c>
      <c r="BJ321" s="137">
        <f>K321*L321</f>
        <v>0</v>
      </c>
      <c r="BK321" s="137" t="s">
        <v>442</v>
      </c>
      <c r="BL321" s="137">
        <v>767</v>
      </c>
    </row>
    <row r="322" spans="1:64">
      <c r="A322" s="130"/>
      <c r="D322" s="157" t="s">
        <v>1573</v>
      </c>
      <c r="I322" s="156"/>
      <c r="K322" s="155">
        <v>35.9</v>
      </c>
      <c r="O322" s="154"/>
      <c r="P322" s="130"/>
    </row>
    <row r="323" spans="1:64">
      <c r="A323" s="142" t="s">
        <v>852</v>
      </c>
      <c r="B323" s="141" t="s">
        <v>1339</v>
      </c>
      <c r="C323" s="141" t="s">
        <v>1572</v>
      </c>
      <c r="D323" s="243" t="s">
        <v>1571</v>
      </c>
      <c r="E323" s="243"/>
      <c r="F323" s="243"/>
      <c r="G323" s="243"/>
      <c r="H323" s="243"/>
      <c r="I323" s="243"/>
      <c r="J323" s="141" t="s">
        <v>691</v>
      </c>
      <c r="K323" s="137">
        <v>16</v>
      </c>
      <c r="L323" s="203">
        <v>0</v>
      </c>
      <c r="M323" s="137">
        <f>K323*L323</f>
        <v>0</v>
      </c>
      <c r="N323" s="137">
        <v>0</v>
      </c>
      <c r="O323" s="140" t="s">
        <v>1340</v>
      </c>
      <c r="P323" s="130"/>
      <c r="Z323" s="137">
        <f>IF(AQ323="5",BJ323,0)</f>
        <v>0</v>
      </c>
      <c r="AB323" s="137">
        <f>IF(AQ323="1",BH323,0)</f>
        <v>0</v>
      </c>
      <c r="AC323" s="137">
        <f>IF(AQ323="1",BI323,0)</f>
        <v>0</v>
      </c>
      <c r="AD323" s="137">
        <f>IF(AQ323="7",BH323,0)</f>
        <v>0</v>
      </c>
      <c r="AE323" s="137">
        <f>IF(AQ323="7",BI323,0)</f>
        <v>0</v>
      </c>
      <c r="AF323" s="137">
        <f>IF(AQ323="2",BH323,0)</f>
        <v>0</v>
      </c>
      <c r="AG323" s="137">
        <f>IF(AQ323="2",BI323,0)</f>
        <v>0</v>
      </c>
      <c r="AH323" s="137">
        <f>IF(AQ323="0",BJ323,0)</f>
        <v>0</v>
      </c>
      <c r="AI323" s="138" t="s">
        <v>1339</v>
      </c>
      <c r="AJ323" s="137">
        <f>IF(AN323=0,M323,0)</f>
        <v>0</v>
      </c>
      <c r="AK323" s="137">
        <f>IF(AN323=15,M323,0)</f>
        <v>0</v>
      </c>
      <c r="AL323" s="137">
        <f>IF(AN323=21,M323,0)</f>
        <v>0</v>
      </c>
      <c r="AN323" s="137">
        <v>21</v>
      </c>
      <c r="AO323" s="137">
        <f>L323*0</f>
        <v>0</v>
      </c>
      <c r="AP323" s="137">
        <f>L323*(1-0)</f>
        <v>0</v>
      </c>
      <c r="AQ323" s="139" t="s">
        <v>352</v>
      </c>
      <c r="AV323" s="137">
        <f>AW323+AX323</f>
        <v>0</v>
      </c>
      <c r="AW323" s="137">
        <f>K323*AO323</f>
        <v>0</v>
      </c>
      <c r="AX323" s="137">
        <f>K323*AP323</f>
        <v>0</v>
      </c>
      <c r="AY323" s="139" t="s">
        <v>1552</v>
      </c>
      <c r="AZ323" s="139" t="s">
        <v>1551</v>
      </c>
      <c r="BA323" s="138" t="s">
        <v>1336</v>
      </c>
      <c r="BC323" s="137">
        <f>AW323+AX323</f>
        <v>0</v>
      </c>
      <c r="BD323" s="137">
        <f>L323/(100-BE323)*100</f>
        <v>0</v>
      </c>
      <c r="BE323" s="137">
        <v>0</v>
      </c>
      <c r="BF323" s="137">
        <f>323</f>
        <v>323</v>
      </c>
      <c r="BH323" s="137">
        <f>K323*AO323</f>
        <v>0</v>
      </c>
      <c r="BI323" s="137">
        <f>K323*AP323</f>
        <v>0</v>
      </c>
      <c r="BJ323" s="137">
        <f>K323*L323</f>
        <v>0</v>
      </c>
      <c r="BK323" s="137" t="s">
        <v>442</v>
      </c>
      <c r="BL323" s="137">
        <v>767</v>
      </c>
    </row>
    <row r="324" spans="1:64">
      <c r="A324" s="130"/>
      <c r="D324" s="157" t="s">
        <v>1570</v>
      </c>
      <c r="I324" s="156"/>
      <c r="K324" s="155">
        <v>16</v>
      </c>
      <c r="O324" s="154"/>
      <c r="P324" s="130"/>
    </row>
    <row r="325" spans="1:64">
      <c r="A325" s="142" t="s">
        <v>196</v>
      </c>
      <c r="B325" s="141" t="s">
        <v>1339</v>
      </c>
      <c r="C325" s="141" t="s">
        <v>1569</v>
      </c>
      <c r="D325" s="243" t="s">
        <v>1568</v>
      </c>
      <c r="E325" s="243"/>
      <c r="F325" s="243"/>
      <c r="G325" s="243"/>
      <c r="H325" s="243"/>
      <c r="I325" s="243"/>
      <c r="J325" s="141" t="s">
        <v>691</v>
      </c>
      <c r="K325" s="137">
        <v>35.9</v>
      </c>
      <c r="L325" s="203">
        <v>0</v>
      </c>
      <c r="M325" s="137">
        <f>K325*L325</f>
        <v>0</v>
      </c>
      <c r="N325" s="137">
        <v>4.0000000000000003E-5</v>
      </c>
      <c r="O325" s="140" t="s">
        <v>1340</v>
      </c>
      <c r="P325" s="130"/>
      <c r="Z325" s="137">
        <f>IF(AQ325="5",BJ325,0)</f>
        <v>0</v>
      </c>
      <c r="AB325" s="137">
        <f>IF(AQ325="1",BH325,0)</f>
        <v>0</v>
      </c>
      <c r="AC325" s="137">
        <f>IF(AQ325="1",BI325,0)</f>
        <v>0</v>
      </c>
      <c r="AD325" s="137">
        <f>IF(AQ325="7",BH325,0)</f>
        <v>0</v>
      </c>
      <c r="AE325" s="137">
        <f>IF(AQ325="7",BI325,0)</f>
        <v>0</v>
      </c>
      <c r="AF325" s="137">
        <f>IF(AQ325="2",BH325,0)</f>
        <v>0</v>
      </c>
      <c r="AG325" s="137">
        <f>IF(AQ325="2",BI325,0)</f>
        <v>0</v>
      </c>
      <c r="AH325" s="137">
        <f>IF(AQ325="0",BJ325,0)</f>
        <v>0</v>
      </c>
      <c r="AI325" s="138" t="s">
        <v>1339</v>
      </c>
      <c r="AJ325" s="137">
        <f>IF(AN325=0,M325,0)</f>
        <v>0</v>
      </c>
      <c r="AK325" s="137">
        <f>IF(AN325=15,M325,0)</f>
        <v>0</v>
      </c>
      <c r="AL325" s="137">
        <f>IF(AN325=21,M325,0)</f>
        <v>0</v>
      </c>
      <c r="AN325" s="137">
        <v>21</v>
      </c>
      <c r="AO325" s="137">
        <f>L325*0.0197543500511771</f>
        <v>0</v>
      </c>
      <c r="AP325" s="137">
        <f>L325*(1-0.0197543500511771)</f>
        <v>0</v>
      </c>
      <c r="AQ325" s="139" t="s">
        <v>352</v>
      </c>
      <c r="AV325" s="137">
        <f>AW325+AX325</f>
        <v>0</v>
      </c>
      <c r="AW325" s="137">
        <f>K325*AO325</f>
        <v>0</v>
      </c>
      <c r="AX325" s="137">
        <f>K325*AP325</f>
        <v>0</v>
      </c>
      <c r="AY325" s="139" t="s">
        <v>1552</v>
      </c>
      <c r="AZ325" s="139" t="s">
        <v>1551</v>
      </c>
      <c r="BA325" s="138" t="s">
        <v>1336</v>
      </c>
      <c r="BC325" s="137">
        <f>AW325+AX325</f>
        <v>0</v>
      </c>
      <c r="BD325" s="137">
        <f>L325/(100-BE325)*100</f>
        <v>0</v>
      </c>
      <c r="BE325" s="137">
        <v>0</v>
      </c>
      <c r="BF325" s="137">
        <f>325</f>
        <v>325</v>
      </c>
      <c r="BH325" s="137">
        <f>K325*AO325</f>
        <v>0</v>
      </c>
      <c r="BI325" s="137">
        <f>K325*AP325</f>
        <v>0</v>
      </c>
      <c r="BJ325" s="137">
        <f>K325*L325</f>
        <v>0</v>
      </c>
      <c r="BK325" s="137" t="s">
        <v>442</v>
      </c>
      <c r="BL325" s="137">
        <v>767</v>
      </c>
    </row>
    <row r="326" spans="1:64">
      <c r="A326" s="130"/>
      <c r="D326" s="157" t="s">
        <v>1567</v>
      </c>
      <c r="I326" s="156"/>
      <c r="K326" s="155">
        <v>35.9</v>
      </c>
      <c r="O326" s="154"/>
      <c r="P326" s="130"/>
    </row>
    <row r="327" spans="1:64">
      <c r="A327" s="142" t="s">
        <v>847</v>
      </c>
      <c r="B327" s="141" t="s">
        <v>1339</v>
      </c>
      <c r="C327" s="141" t="s">
        <v>1566</v>
      </c>
      <c r="D327" s="243" t="s">
        <v>1565</v>
      </c>
      <c r="E327" s="243"/>
      <c r="F327" s="243"/>
      <c r="G327" s="243"/>
      <c r="H327" s="243"/>
      <c r="I327" s="243"/>
      <c r="J327" s="141" t="s">
        <v>691</v>
      </c>
      <c r="K327" s="137">
        <v>16</v>
      </c>
      <c r="L327" s="203">
        <v>0</v>
      </c>
      <c r="M327" s="137">
        <f>K327*L327</f>
        <v>0</v>
      </c>
      <c r="N327" s="137">
        <v>2.8800000000000002E-3</v>
      </c>
      <c r="O327" s="140" t="s">
        <v>1340</v>
      </c>
      <c r="P327" s="130"/>
      <c r="Z327" s="137">
        <f>IF(AQ327="5",BJ327,0)</f>
        <v>0</v>
      </c>
      <c r="AB327" s="137">
        <f>IF(AQ327="1",BH327,0)</f>
        <v>0</v>
      </c>
      <c r="AC327" s="137">
        <f>IF(AQ327="1",BI327,0)</f>
        <v>0</v>
      </c>
      <c r="AD327" s="137">
        <f>IF(AQ327="7",BH327,0)</f>
        <v>0</v>
      </c>
      <c r="AE327" s="137">
        <f>IF(AQ327="7",BI327,0)</f>
        <v>0</v>
      </c>
      <c r="AF327" s="137">
        <f>IF(AQ327="2",BH327,0)</f>
        <v>0</v>
      </c>
      <c r="AG327" s="137">
        <f>IF(AQ327="2",BI327,0)</f>
        <v>0</v>
      </c>
      <c r="AH327" s="137">
        <f>IF(AQ327="0",BJ327,0)</f>
        <v>0</v>
      </c>
      <c r="AI327" s="138" t="s">
        <v>1339</v>
      </c>
      <c r="AJ327" s="137">
        <f>IF(AN327=0,M327,0)</f>
        <v>0</v>
      </c>
      <c r="AK327" s="137">
        <f>IF(AN327=15,M327,0)</f>
        <v>0</v>
      </c>
      <c r="AL327" s="137">
        <f>IF(AN327=21,M327,0)</f>
        <v>0</v>
      </c>
      <c r="AN327" s="137">
        <v>21</v>
      </c>
      <c r="AO327" s="137">
        <f>L327*0.487969639468691</f>
        <v>0</v>
      </c>
      <c r="AP327" s="137">
        <f>L327*(1-0.487969639468691)</f>
        <v>0</v>
      </c>
      <c r="AQ327" s="139" t="s">
        <v>352</v>
      </c>
      <c r="AV327" s="137">
        <f>AW327+AX327</f>
        <v>0</v>
      </c>
      <c r="AW327" s="137">
        <f>K327*AO327</f>
        <v>0</v>
      </c>
      <c r="AX327" s="137">
        <f>K327*AP327</f>
        <v>0</v>
      </c>
      <c r="AY327" s="139" t="s">
        <v>1552</v>
      </c>
      <c r="AZ327" s="139" t="s">
        <v>1551</v>
      </c>
      <c r="BA327" s="138" t="s">
        <v>1336</v>
      </c>
      <c r="BC327" s="137">
        <f>AW327+AX327</f>
        <v>0</v>
      </c>
      <c r="BD327" s="137">
        <f>L327/(100-BE327)*100</f>
        <v>0</v>
      </c>
      <c r="BE327" s="137">
        <v>0</v>
      </c>
      <c r="BF327" s="137">
        <f>327</f>
        <v>327</v>
      </c>
      <c r="BH327" s="137">
        <f>K327*AO327</f>
        <v>0</v>
      </c>
      <c r="BI327" s="137">
        <f>K327*AP327</f>
        <v>0</v>
      </c>
      <c r="BJ327" s="137">
        <f>K327*L327</f>
        <v>0</v>
      </c>
      <c r="BK327" s="137" t="s">
        <v>442</v>
      </c>
      <c r="BL327" s="137">
        <v>767</v>
      </c>
    </row>
    <row r="328" spans="1:64" ht="14.65" customHeight="1">
      <c r="A328" s="130"/>
      <c r="D328" s="251" t="s">
        <v>1564</v>
      </c>
      <c r="E328" s="251"/>
      <c r="F328" s="251"/>
      <c r="G328" s="251"/>
      <c r="H328" s="251"/>
      <c r="I328" s="251"/>
      <c r="J328" s="251"/>
      <c r="K328" s="251"/>
      <c r="L328" s="251"/>
      <c r="M328" s="251"/>
      <c r="N328" s="251"/>
      <c r="O328" s="251"/>
      <c r="P328" s="130"/>
    </row>
    <row r="329" spans="1:64">
      <c r="A329" s="130"/>
      <c r="D329" s="157" t="s">
        <v>1563</v>
      </c>
      <c r="I329" s="156"/>
      <c r="K329" s="155">
        <v>16</v>
      </c>
      <c r="O329" s="154"/>
      <c r="P329" s="130"/>
    </row>
    <row r="330" spans="1:64">
      <c r="A330" s="142" t="s">
        <v>192</v>
      </c>
      <c r="B330" s="141" t="s">
        <v>1339</v>
      </c>
      <c r="C330" s="141" t="s">
        <v>1562</v>
      </c>
      <c r="D330" s="243" t="s">
        <v>1561</v>
      </c>
      <c r="E330" s="243"/>
      <c r="F330" s="243"/>
      <c r="G330" s="243"/>
      <c r="H330" s="243"/>
      <c r="I330" s="243"/>
      <c r="J330" s="141" t="s">
        <v>691</v>
      </c>
      <c r="K330" s="137">
        <v>5</v>
      </c>
      <c r="L330" s="203">
        <v>0</v>
      </c>
      <c r="M330" s="137">
        <f>K330*L330</f>
        <v>0</v>
      </c>
      <c r="N330" s="137">
        <v>4.1000000000000003E-3</v>
      </c>
      <c r="O330" s="140" t="s">
        <v>1340</v>
      </c>
      <c r="P330" s="130"/>
      <c r="Z330" s="137">
        <f>IF(AQ330="5",BJ330,0)</f>
        <v>0</v>
      </c>
      <c r="AB330" s="137">
        <f>IF(AQ330="1",BH330,0)</f>
        <v>0</v>
      </c>
      <c r="AC330" s="137">
        <f>IF(AQ330="1",BI330,0)</f>
        <v>0</v>
      </c>
      <c r="AD330" s="137">
        <f>IF(AQ330="7",BH330,0)</f>
        <v>0</v>
      </c>
      <c r="AE330" s="137">
        <f>IF(AQ330="7",BI330,0)</f>
        <v>0</v>
      </c>
      <c r="AF330" s="137">
        <f>IF(AQ330="2",BH330,0)</f>
        <v>0</v>
      </c>
      <c r="AG330" s="137">
        <f>IF(AQ330="2",BI330,0)</f>
        <v>0</v>
      </c>
      <c r="AH330" s="137">
        <f>IF(AQ330="0",BJ330,0)</f>
        <v>0</v>
      </c>
      <c r="AI330" s="138" t="s">
        <v>1339</v>
      </c>
      <c r="AJ330" s="137">
        <f>IF(AN330=0,M330,0)</f>
        <v>0</v>
      </c>
      <c r="AK330" s="137">
        <f>IF(AN330=15,M330,0)</f>
        <v>0</v>
      </c>
      <c r="AL330" s="137">
        <f>IF(AN330=21,M330,0)</f>
        <v>0</v>
      </c>
      <c r="AN330" s="137">
        <v>21</v>
      </c>
      <c r="AO330" s="137">
        <f>L330*0.583339920948617</f>
        <v>0</v>
      </c>
      <c r="AP330" s="137">
        <f>L330*(1-0.583339920948617)</f>
        <v>0</v>
      </c>
      <c r="AQ330" s="139" t="s">
        <v>352</v>
      </c>
      <c r="AV330" s="137">
        <f>AW330+AX330</f>
        <v>0</v>
      </c>
      <c r="AW330" s="137">
        <f>K330*AO330</f>
        <v>0</v>
      </c>
      <c r="AX330" s="137">
        <f>K330*AP330</f>
        <v>0</v>
      </c>
      <c r="AY330" s="139" t="s">
        <v>1552</v>
      </c>
      <c r="AZ330" s="139" t="s">
        <v>1551</v>
      </c>
      <c r="BA330" s="138" t="s">
        <v>1336</v>
      </c>
      <c r="BC330" s="137">
        <f>AW330+AX330</f>
        <v>0</v>
      </c>
      <c r="BD330" s="137">
        <f>L330/(100-BE330)*100</f>
        <v>0</v>
      </c>
      <c r="BE330" s="137">
        <v>0</v>
      </c>
      <c r="BF330" s="137">
        <f>330</f>
        <v>330</v>
      </c>
      <c r="BH330" s="137">
        <f>K330*AO330</f>
        <v>0</v>
      </c>
      <c r="BI330" s="137">
        <f>K330*AP330</f>
        <v>0</v>
      </c>
      <c r="BJ330" s="137">
        <f>K330*L330</f>
        <v>0</v>
      </c>
      <c r="BK330" s="137" t="s">
        <v>442</v>
      </c>
      <c r="BL330" s="137">
        <v>767</v>
      </c>
    </row>
    <row r="331" spans="1:64">
      <c r="A331" s="130"/>
      <c r="D331" s="157" t="s">
        <v>1560</v>
      </c>
      <c r="I331" s="156"/>
      <c r="K331" s="155">
        <v>5</v>
      </c>
      <c r="O331" s="154"/>
      <c r="P331" s="130"/>
    </row>
    <row r="332" spans="1:64">
      <c r="A332" s="142" t="s">
        <v>842</v>
      </c>
      <c r="B332" s="141" t="s">
        <v>1339</v>
      </c>
      <c r="C332" s="141" t="s">
        <v>1559</v>
      </c>
      <c r="D332" s="243" t="s">
        <v>1558</v>
      </c>
      <c r="E332" s="243"/>
      <c r="F332" s="243"/>
      <c r="G332" s="243"/>
      <c r="H332" s="243"/>
      <c r="I332" s="243"/>
      <c r="J332" s="141" t="s">
        <v>722</v>
      </c>
      <c r="K332" s="137">
        <v>2</v>
      </c>
      <c r="L332" s="203">
        <v>0</v>
      </c>
      <c r="M332" s="137">
        <f>K332*L332</f>
        <v>0</v>
      </c>
      <c r="N332" s="137">
        <v>1.0000000000000001E-5</v>
      </c>
      <c r="O332" s="140" t="s">
        <v>1340</v>
      </c>
      <c r="P332" s="130"/>
      <c r="Z332" s="137">
        <f>IF(AQ332="5",BJ332,0)</f>
        <v>0</v>
      </c>
      <c r="AB332" s="137">
        <f>IF(AQ332="1",BH332,0)</f>
        <v>0</v>
      </c>
      <c r="AC332" s="137">
        <f>IF(AQ332="1",BI332,0)</f>
        <v>0</v>
      </c>
      <c r="AD332" s="137">
        <f>IF(AQ332="7",BH332,0)</f>
        <v>0</v>
      </c>
      <c r="AE332" s="137">
        <f>IF(AQ332="7",BI332,0)</f>
        <v>0</v>
      </c>
      <c r="AF332" s="137">
        <f>IF(AQ332="2",BH332,0)</f>
        <v>0</v>
      </c>
      <c r="AG332" s="137">
        <f>IF(AQ332="2",BI332,0)</f>
        <v>0</v>
      </c>
      <c r="AH332" s="137">
        <f>IF(AQ332="0",BJ332,0)</f>
        <v>0</v>
      </c>
      <c r="AI332" s="138" t="s">
        <v>1339</v>
      </c>
      <c r="AJ332" s="137">
        <f>IF(AN332=0,M332,0)</f>
        <v>0</v>
      </c>
      <c r="AK332" s="137">
        <f>IF(AN332=15,M332,0)</f>
        <v>0</v>
      </c>
      <c r="AL332" s="137">
        <f>IF(AN332=21,M332,0)</f>
        <v>0</v>
      </c>
      <c r="AN332" s="137">
        <v>21</v>
      </c>
      <c r="AO332" s="137">
        <f>L332*0.0170046082949309</f>
        <v>0</v>
      </c>
      <c r="AP332" s="137">
        <f>L332*(1-0.0170046082949309)</f>
        <v>0</v>
      </c>
      <c r="AQ332" s="139" t="s">
        <v>352</v>
      </c>
      <c r="AV332" s="137">
        <f>AW332+AX332</f>
        <v>0</v>
      </c>
      <c r="AW332" s="137">
        <f>K332*AO332</f>
        <v>0</v>
      </c>
      <c r="AX332" s="137">
        <f>K332*AP332</f>
        <v>0</v>
      </c>
      <c r="AY332" s="139" t="s">
        <v>1552</v>
      </c>
      <c r="AZ332" s="139" t="s">
        <v>1551</v>
      </c>
      <c r="BA332" s="138" t="s">
        <v>1336</v>
      </c>
      <c r="BC332" s="137">
        <f>AW332+AX332</f>
        <v>0</v>
      </c>
      <c r="BD332" s="137">
        <f>L332/(100-BE332)*100</f>
        <v>0</v>
      </c>
      <c r="BE332" s="137">
        <v>0</v>
      </c>
      <c r="BF332" s="137">
        <f>332</f>
        <v>332</v>
      </c>
      <c r="BH332" s="137">
        <f>K332*AO332</f>
        <v>0</v>
      </c>
      <c r="BI332" s="137">
        <f>K332*AP332</f>
        <v>0</v>
      </c>
      <c r="BJ332" s="137">
        <f>K332*L332</f>
        <v>0</v>
      </c>
      <c r="BK332" s="137" t="s">
        <v>442</v>
      </c>
      <c r="BL332" s="137">
        <v>767</v>
      </c>
    </row>
    <row r="333" spans="1:64">
      <c r="A333" s="130"/>
      <c r="D333" s="157" t="s">
        <v>1555</v>
      </c>
      <c r="I333" s="156"/>
      <c r="K333" s="155">
        <v>2</v>
      </c>
      <c r="O333" s="154"/>
      <c r="P333" s="130"/>
    </row>
    <row r="334" spans="1:64">
      <c r="A334" s="142" t="s">
        <v>188</v>
      </c>
      <c r="B334" s="141" t="s">
        <v>1339</v>
      </c>
      <c r="C334" s="141" t="s">
        <v>1557</v>
      </c>
      <c r="D334" s="243" t="s">
        <v>1556</v>
      </c>
      <c r="E334" s="243"/>
      <c r="F334" s="243"/>
      <c r="G334" s="243"/>
      <c r="H334" s="243"/>
      <c r="I334" s="243"/>
      <c r="J334" s="141" t="s">
        <v>722</v>
      </c>
      <c r="K334" s="137">
        <v>2</v>
      </c>
      <c r="L334" s="203">
        <v>0</v>
      </c>
      <c r="M334" s="137">
        <f>K334*L334</f>
        <v>0</v>
      </c>
      <c r="N334" s="137">
        <v>2.3900000000000002E-3</v>
      </c>
      <c r="O334" s="140" t="s">
        <v>1340</v>
      </c>
      <c r="P334" s="130"/>
      <c r="Z334" s="137">
        <f>IF(AQ334="5",BJ334,0)</f>
        <v>0</v>
      </c>
      <c r="AB334" s="137">
        <f>IF(AQ334="1",BH334,0)</f>
        <v>0</v>
      </c>
      <c r="AC334" s="137">
        <f>IF(AQ334="1",BI334,0)</f>
        <v>0</v>
      </c>
      <c r="AD334" s="137">
        <f>IF(AQ334="7",BH334,0)</f>
        <v>0</v>
      </c>
      <c r="AE334" s="137">
        <f>IF(AQ334="7",BI334,0)</f>
        <v>0</v>
      </c>
      <c r="AF334" s="137">
        <f>IF(AQ334="2",BH334,0)</f>
        <v>0</v>
      </c>
      <c r="AG334" s="137">
        <f>IF(AQ334="2",BI334,0)</f>
        <v>0</v>
      </c>
      <c r="AH334" s="137">
        <f>IF(AQ334="0",BJ334,0)</f>
        <v>0</v>
      </c>
      <c r="AI334" s="138" t="s">
        <v>1339</v>
      </c>
      <c r="AJ334" s="137">
        <f>IF(AN334=0,M334,0)</f>
        <v>0</v>
      </c>
      <c r="AK334" s="137">
        <f>IF(AN334=15,M334,0)</f>
        <v>0</v>
      </c>
      <c r="AL334" s="137">
        <f>IF(AN334=21,M334,0)</f>
        <v>0</v>
      </c>
      <c r="AN334" s="137">
        <v>21</v>
      </c>
      <c r="AO334" s="137">
        <f>L334*1</f>
        <v>0</v>
      </c>
      <c r="AP334" s="137">
        <f>L334*(1-1)</f>
        <v>0</v>
      </c>
      <c r="AQ334" s="139" t="s">
        <v>352</v>
      </c>
      <c r="AV334" s="137">
        <f>AW334+AX334</f>
        <v>0</v>
      </c>
      <c r="AW334" s="137">
        <f>K334*AO334</f>
        <v>0</v>
      </c>
      <c r="AX334" s="137">
        <f>K334*AP334</f>
        <v>0</v>
      </c>
      <c r="AY334" s="139" t="s">
        <v>1552</v>
      </c>
      <c r="AZ334" s="139" t="s">
        <v>1551</v>
      </c>
      <c r="BA334" s="138" t="s">
        <v>1336</v>
      </c>
      <c r="BC334" s="137">
        <f>AW334+AX334</f>
        <v>0</v>
      </c>
      <c r="BD334" s="137">
        <f>L334/(100-BE334)*100</f>
        <v>0</v>
      </c>
      <c r="BE334" s="137">
        <v>0</v>
      </c>
      <c r="BF334" s="137">
        <f>334</f>
        <v>334</v>
      </c>
      <c r="BH334" s="137">
        <f>K334*AO334</f>
        <v>0</v>
      </c>
      <c r="BI334" s="137">
        <f>K334*AP334</f>
        <v>0</v>
      </c>
      <c r="BJ334" s="137">
        <f>K334*L334</f>
        <v>0</v>
      </c>
      <c r="BK334" s="137" t="s">
        <v>750</v>
      </c>
      <c r="BL334" s="137">
        <v>767</v>
      </c>
    </row>
    <row r="335" spans="1:64">
      <c r="A335" s="130"/>
      <c r="D335" s="157" t="s">
        <v>1555</v>
      </c>
      <c r="I335" s="156"/>
      <c r="K335" s="155">
        <v>2</v>
      </c>
      <c r="O335" s="154"/>
      <c r="P335" s="130"/>
    </row>
    <row r="336" spans="1:64">
      <c r="A336" s="142" t="s">
        <v>837</v>
      </c>
      <c r="B336" s="141" t="s">
        <v>1339</v>
      </c>
      <c r="C336" s="141" t="s">
        <v>1554</v>
      </c>
      <c r="D336" s="243" t="s">
        <v>1553</v>
      </c>
      <c r="E336" s="243"/>
      <c r="F336" s="243"/>
      <c r="G336" s="243"/>
      <c r="H336" s="243"/>
      <c r="I336" s="243"/>
      <c r="J336" s="141" t="s">
        <v>735</v>
      </c>
      <c r="K336" s="137">
        <v>0.41398000000000001</v>
      </c>
      <c r="L336" s="203">
        <v>0</v>
      </c>
      <c r="M336" s="137">
        <f>K336*L336</f>
        <v>0</v>
      </c>
      <c r="N336" s="137">
        <v>0</v>
      </c>
      <c r="O336" s="140" t="s">
        <v>1340</v>
      </c>
      <c r="P336" s="130"/>
      <c r="Z336" s="137">
        <f>IF(AQ336="5",BJ336,0)</f>
        <v>0</v>
      </c>
      <c r="AB336" s="137">
        <f>IF(AQ336="1",BH336,0)</f>
        <v>0</v>
      </c>
      <c r="AC336" s="137">
        <f>IF(AQ336="1",BI336,0)</f>
        <v>0</v>
      </c>
      <c r="AD336" s="137">
        <f>IF(AQ336="7",BH336,0)</f>
        <v>0</v>
      </c>
      <c r="AE336" s="137">
        <f>IF(AQ336="7",BI336,0)</f>
        <v>0</v>
      </c>
      <c r="AF336" s="137">
        <f>IF(AQ336="2",BH336,0)</f>
        <v>0</v>
      </c>
      <c r="AG336" s="137">
        <f>IF(AQ336="2",BI336,0)</f>
        <v>0</v>
      </c>
      <c r="AH336" s="137">
        <f>IF(AQ336="0",BJ336,0)</f>
        <v>0</v>
      </c>
      <c r="AI336" s="138" t="s">
        <v>1339</v>
      </c>
      <c r="AJ336" s="137">
        <f>IF(AN336=0,M336,0)</f>
        <v>0</v>
      </c>
      <c r="AK336" s="137">
        <f>IF(AN336=15,M336,0)</f>
        <v>0</v>
      </c>
      <c r="AL336" s="137">
        <f>IF(AN336=21,M336,0)</f>
        <v>0</v>
      </c>
      <c r="AN336" s="137">
        <v>21</v>
      </c>
      <c r="AO336" s="137">
        <f>L336*0</f>
        <v>0</v>
      </c>
      <c r="AP336" s="137">
        <f>L336*(1-0)</f>
        <v>0</v>
      </c>
      <c r="AQ336" s="139" t="s">
        <v>357</v>
      </c>
      <c r="AV336" s="137">
        <f>AW336+AX336</f>
        <v>0</v>
      </c>
      <c r="AW336" s="137">
        <f>K336*AO336</f>
        <v>0</v>
      </c>
      <c r="AX336" s="137">
        <f>K336*AP336</f>
        <v>0</v>
      </c>
      <c r="AY336" s="139" t="s">
        <v>1552</v>
      </c>
      <c r="AZ336" s="139" t="s">
        <v>1551</v>
      </c>
      <c r="BA336" s="138" t="s">
        <v>1336</v>
      </c>
      <c r="BC336" s="137">
        <f>AW336+AX336</f>
        <v>0</v>
      </c>
      <c r="BD336" s="137">
        <f>L336/(100-BE336)*100</f>
        <v>0</v>
      </c>
      <c r="BE336" s="137">
        <v>0</v>
      </c>
      <c r="BF336" s="137">
        <f>336</f>
        <v>336</v>
      </c>
      <c r="BH336" s="137">
        <f>K336*AO336</f>
        <v>0</v>
      </c>
      <c r="BI336" s="137">
        <f>K336*AP336</f>
        <v>0</v>
      </c>
      <c r="BJ336" s="137">
        <f>K336*L336</f>
        <v>0</v>
      </c>
      <c r="BK336" s="137" t="s">
        <v>442</v>
      </c>
      <c r="BL336" s="137">
        <v>767</v>
      </c>
    </row>
    <row r="337" spans="1:64">
      <c r="A337" s="147"/>
      <c r="B337" s="146" t="s">
        <v>1339</v>
      </c>
      <c r="C337" s="146" t="s">
        <v>1550</v>
      </c>
      <c r="D337" s="252" t="s">
        <v>1549</v>
      </c>
      <c r="E337" s="252"/>
      <c r="F337" s="252"/>
      <c r="G337" s="252"/>
      <c r="H337" s="252"/>
      <c r="I337" s="252"/>
      <c r="J337" s="145" t="s">
        <v>1305</v>
      </c>
      <c r="K337" s="145" t="s">
        <v>1305</v>
      </c>
      <c r="L337" s="145" t="s">
        <v>1305</v>
      </c>
      <c r="M337" s="143">
        <f>SUM(M338:M356)</f>
        <v>0</v>
      </c>
      <c r="N337" s="138"/>
      <c r="O337" s="144"/>
      <c r="P337" s="130"/>
      <c r="AI337" s="138" t="s">
        <v>1339</v>
      </c>
      <c r="AS337" s="143">
        <f>SUM(AJ338:AJ356)</f>
        <v>0</v>
      </c>
      <c r="AT337" s="143">
        <f>SUM(AK338:AK356)</f>
        <v>0</v>
      </c>
      <c r="AU337" s="143">
        <f>SUM(AL338:AL356)</f>
        <v>0</v>
      </c>
    </row>
    <row r="338" spans="1:64">
      <c r="A338" s="142" t="s">
        <v>184</v>
      </c>
      <c r="B338" s="141" t="s">
        <v>1339</v>
      </c>
      <c r="C338" s="141" t="s">
        <v>1548</v>
      </c>
      <c r="D338" s="243" t="s">
        <v>1547</v>
      </c>
      <c r="E338" s="243"/>
      <c r="F338" s="243"/>
      <c r="G338" s="243"/>
      <c r="H338" s="243"/>
      <c r="I338" s="243"/>
      <c r="J338" s="141" t="s">
        <v>691</v>
      </c>
      <c r="K338" s="137">
        <v>8.4480000000000004</v>
      </c>
      <c r="L338" s="203">
        <v>0</v>
      </c>
      <c r="M338" s="137">
        <f>K338*L338</f>
        <v>0</v>
      </c>
      <c r="N338" s="137">
        <v>0</v>
      </c>
      <c r="O338" s="140" t="s">
        <v>1340</v>
      </c>
      <c r="P338" s="130"/>
      <c r="Z338" s="137">
        <f>IF(AQ338="5",BJ338,0)</f>
        <v>0</v>
      </c>
      <c r="AB338" s="137">
        <f>IF(AQ338="1",BH338,0)</f>
        <v>0</v>
      </c>
      <c r="AC338" s="137">
        <f>IF(AQ338="1",BI338,0)</f>
        <v>0</v>
      </c>
      <c r="AD338" s="137">
        <f>IF(AQ338="7",BH338,0)</f>
        <v>0</v>
      </c>
      <c r="AE338" s="137">
        <f>IF(AQ338="7",BI338,0)</f>
        <v>0</v>
      </c>
      <c r="AF338" s="137">
        <f>IF(AQ338="2",BH338,0)</f>
        <v>0</v>
      </c>
      <c r="AG338" s="137">
        <f>IF(AQ338="2",BI338,0)</f>
        <v>0</v>
      </c>
      <c r="AH338" s="137">
        <f>IF(AQ338="0",BJ338,0)</f>
        <v>0</v>
      </c>
      <c r="AI338" s="138" t="s">
        <v>1339</v>
      </c>
      <c r="AJ338" s="137">
        <f>IF(AN338=0,M338,0)</f>
        <v>0</v>
      </c>
      <c r="AK338" s="137">
        <f>IF(AN338=15,M338,0)</f>
        <v>0</v>
      </c>
      <c r="AL338" s="137">
        <f>IF(AN338=21,M338,0)</f>
        <v>0</v>
      </c>
      <c r="AN338" s="137">
        <v>21</v>
      </c>
      <c r="AO338" s="137">
        <f>L338*0</f>
        <v>0</v>
      </c>
      <c r="AP338" s="137">
        <f>L338*(1-0)</f>
        <v>0</v>
      </c>
      <c r="AQ338" s="139" t="s">
        <v>352</v>
      </c>
      <c r="AV338" s="137">
        <f>AW338+AX338</f>
        <v>0</v>
      </c>
      <c r="AW338" s="137">
        <f>K338*AO338</f>
        <v>0</v>
      </c>
      <c r="AX338" s="137">
        <f>K338*AP338</f>
        <v>0</v>
      </c>
      <c r="AY338" s="139" t="s">
        <v>1523</v>
      </c>
      <c r="AZ338" s="139" t="s">
        <v>1493</v>
      </c>
      <c r="BA338" s="138" t="s">
        <v>1336</v>
      </c>
      <c r="BC338" s="137">
        <f>AW338+AX338</f>
        <v>0</v>
      </c>
      <c r="BD338" s="137">
        <f>L338/(100-BE338)*100</f>
        <v>0</v>
      </c>
      <c r="BE338" s="137">
        <v>0</v>
      </c>
      <c r="BF338" s="137">
        <f>338</f>
        <v>338</v>
      </c>
      <c r="BH338" s="137">
        <f>K338*AO338</f>
        <v>0</v>
      </c>
      <c r="BI338" s="137">
        <f>K338*AP338</f>
        <v>0</v>
      </c>
      <c r="BJ338" s="137">
        <f>K338*L338</f>
        <v>0</v>
      </c>
      <c r="BK338" s="137" t="s">
        <v>442</v>
      </c>
      <c r="BL338" s="137">
        <v>771</v>
      </c>
    </row>
    <row r="339" spans="1:64">
      <c r="A339" s="130"/>
      <c r="D339" s="157" t="s">
        <v>1546</v>
      </c>
      <c r="I339" s="156"/>
      <c r="K339" s="155">
        <v>8.4480000000000004</v>
      </c>
      <c r="O339" s="154"/>
      <c r="P339" s="130"/>
    </row>
    <row r="340" spans="1:64">
      <c r="A340" s="142" t="s">
        <v>829</v>
      </c>
      <c r="B340" s="141" t="s">
        <v>1339</v>
      </c>
      <c r="C340" s="141" t="s">
        <v>1545</v>
      </c>
      <c r="D340" s="243" t="s">
        <v>1544</v>
      </c>
      <c r="E340" s="243"/>
      <c r="F340" s="243"/>
      <c r="G340" s="243"/>
      <c r="H340" s="243"/>
      <c r="I340" s="243"/>
      <c r="J340" s="141" t="s">
        <v>691</v>
      </c>
      <c r="K340" s="137">
        <v>8.44</v>
      </c>
      <c r="L340" s="203">
        <v>0</v>
      </c>
      <c r="M340" s="137">
        <f>K340*L340</f>
        <v>0</v>
      </c>
      <c r="N340" s="137">
        <v>0</v>
      </c>
      <c r="O340" s="140" t="s">
        <v>1340</v>
      </c>
      <c r="P340" s="130"/>
      <c r="Z340" s="137">
        <f>IF(AQ340="5",BJ340,0)</f>
        <v>0</v>
      </c>
      <c r="AB340" s="137">
        <f>IF(AQ340="1",BH340,0)</f>
        <v>0</v>
      </c>
      <c r="AC340" s="137">
        <f>IF(AQ340="1",BI340,0)</f>
        <v>0</v>
      </c>
      <c r="AD340" s="137">
        <f>IF(AQ340="7",BH340,0)</f>
        <v>0</v>
      </c>
      <c r="AE340" s="137">
        <f>IF(AQ340="7",BI340,0)</f>
        <v>0</v>
      </c>
      <c r="AF340" s="137">
        <f>IF(AQ340="2",BH340,0)</f>
        <v>0</v>
      </c>
      <c r="AG340" s="137">
        <f>IF(AQ340="2",BI340,0)</f>
        <v>0</v>
      </c>
      <c r="AH340" s="137">
        <f>IF(AQ340="0",BJ340,0)</f>
        <v>0</v>
      </c>
      <c r="AI340" s="138" t="s">
        <v>1339</v>
      </c>
      <c r="AJ340" s="137">
        <f>IF(AN340=0,M340,0)</f>
        <v>0</v>
      </c>
      <c r="AK340" s="137">
        <f>IF(AN340=15,M340,0)</f>
        <v>0</v>
      </c>
      <c r="AL340" s="137">
        <f>IF(AN340=21,M340,0)</f>
        <v>0</v>
      </c>
      <c r="AN340" s="137">
        <v>21</v>
      </c>
      <c r="AO340" s="137">
        <f>L340*0</f>
        <v>0</v>
      </c>
      <c r="AP340" s="137">
        <f>L340*(1-0)</f>
        <v>0</v>
      </c>
      <c r="AQ340" s="139" t="s">
        <v>352</v>
      </c>
      <c r="AV340" s="137">
        <f>AW340+AX340</f>
        <v>0</v>
      </c>
      <c r="AW340" s="137">
        <f>K340*AO340</f>
        <v>0</v>
      </c>
      <c r="AX340" s="137">
        <f>K340*AP340</f>
        <v>0</v>
      </c>
      <c r="AY340" s="139" t="s">
        <v>1523</v>
      </c>
      <c r="AZ340" s="139" t="s">
        <v>1493</v>
      </c>
      <c r="BA340" s="138" t="s">
        <v>1336</v>
      </c>
      <c r="BC340" s="137">
        <f>AW340+AX340</f>
        <v>0</v>
      </c>
      <c r="BD340" s="137">
        <f>L340/(100-BE340)*100</f>
        <v>0</v>
      </c>
      <c r="BE340" s="137">
        <v>0</v>
      </c>
      <c r="BF340" s="137">
        <f>340</f>
        <v>340</v>
      </c>
      <c r="BH340" s="137">
        <f>K340*AO340</f>
        <v>0</v>
      </c>
      <c r="BI340" s="137">
        <f>K340*AP340</f>
        <v>0</v>
      </c>
      <c r="BJ340" s="137">
        <f>K340*L340</f>
        <v>0</v>
      </c>
      <c r="BK340" s="137" t="s">
        <v>442</v>
      </c>
      <c r="BL340" s="137">
        <v>771</v>
      </c>
    </row>
    <row r="341" spans="1:64">
      <c r="A341" s="130"/>
      <c r="D341" s="157" t="s">
        <v>1538</v>
      </c>
      <c r="I341" s="156"/>
      <c r="K341" s="155">
        <v>8.44</v>
      </c>
      <c r="O341" s="154"/>
      <c r="P341" s="130"/>
    </row>
    <row r="342" spans="1:64">
      <c r="A342" s="142" t="s">
        <v>180</v>
      </c>
      <c r="B342" s="141" t="s">
        <v>1339</v>
      </c>
      <c r="C342" s="141" t="s">
        <v>1543</v>
      </c>
      <c r="D342" s="243" t="s">
        <v>1542</v>
      </c>
      <c r="E342" s="243"/>
      <c r="F342" s="243"/>
      <c r="G342" s="243"/>
      <c r="H342" s="243"/>
      <c r="I342" s="243"/>
      <c r="J342" s="141" t="s">
        <v>691</v>
      </c>
      <c r="K342" s="137">
        <v>8.44</v>
      </c>
      <c r="L342" s="203">
        <v>0</v>
      </c>
      <c r="M342" s="137">
        <f>K342*L342</f>
        <v>0</v>
      </c>
      <c r="N342" s="137">
        <v>2.1000000000000001E-4</v>
      </c>
      <c r="O342" s="140" t="s">
        <v>1340</v>
      </c>
      <c r="P342" s="130"/>
      <c r="Z342" s="137">
        <f>IF(AQ342="5",BJ342,0)</f>
        <v>0</v>
      </c>
      <c r="AB342" s="137">
        <f>IF(AQ342="1",BH342,0)</f>
        <v>0</v>
      </c>
      <c r="AC342" s="137">
        <f>IF(AQ342="1",BI342,0)</f>
        <v>0</v>
      </c>
      <c r="AD342" s="137">
        <f>IF(AQ342="7",BH342,0)</f>
        <v>0</v>
      </c>
      <c r="AE342" s="137">
        <f>IF(AQ342="7",BI342,0)</f>
        <v>0</v>
      </c>
      <c r="AF342" s="137">
        <f>IF(AQ342="2",BH342,0)</f>
        <v>0</v>
      </c>
      <c r="AG342" s="137">
        <f>IF(AQ342="2",BI342,0)</f>
        <v>0</v>
      </c>
      <c r="AH342" s="137">
        <f>IF(AQ342="0",BJ342,0)</f>
        <v>0</v>
      </c>
      <c r="AI342" s="138" t="s">
        <v>1339</v>
      </c>
      <c r="AJ342" s="137">
        <f>IF(AN342=0,M342,0)</f>
        <v>0</v>
      </c>
      <c r="AK342" s="137">
        <f>IF(AN342=15,M342,0)</f>
        <v>0</v>
      </c>
      <c r="AL342" s="137">
        <f>IF(AN342=21,M342,0)</f>
        <v>0</v>
      </c>
      <c r="AN342" s="137">
        <v>21</v>
      </c>
      <c r="AO342" s="137">
        <f>L342*0.50665855746272</f>
        <v>0</v>
      </c>
      <c r="AP342" s="137">
        <f>L342*(1-0.50665855746272)</f>
        <v>0</v>
      </c>
      <c r="AQ342" s="139" t="s">
        <v>352</v>
      </c>
      <c r="AV342" s="137">
        <f>AW342+AX342</f>
        <v>0</v>
      </c>
      <c r="AW342" s="137">
        <f>K342*AO342</f>
        <v>0</v>
      </c>
      <c r="AX342" s="137">
        <f>K342*AP342</f>
        <v>0</v>
      </c>
      <c r="AY342" s="139" t="s">
        <v>1523</v>
      </c>
      <c r="AZ342" s="139" t="s">
        <v>1493</v>
      </c>
      <c r="BA342" s="138" t="s">
        <v>1336</v>
      </c>
      <c r="BC342" s="137">
        <f>AW342+AX342</f>
        <v>0</v>
      </c>
      <c r="BD342" s="137">
        <f>L342/(100-BE342)*100</f>
        <v>0</v>
      </c>
      <c r="BE342" s="137">
        <v>0</v>
      </c>
      <c r="BF342" s="137">
        <f>342</f>
        <v>342</v>
      </c>
      <c r="BH342" s="137">
        <f>K342*AO342</f>
        <v>0</v>
      </c>
      <c r="BI342" s="137">
        <f>K342*AP342</f>
        <v>0</v>
      </c>
      <c r="BJ342" s="137">
        <f>K342*L342</f>
        <v>0</v>
      </c>
      <c r="BK342" s="137" t="s">
        <v>442</v>
      </c>
      <c r="BL342" s="137">
        <v>771</v>
      </c>
    </row>
    <row r="343" spans="1:64" ht="14.65" customHeight="1">
      <c r="A343" s="130"/>
      <c r="D343" s="251" t="s">
        <v>1541</v>
      </c>
      <c r="E343" s="251"/>
      <c r="F343" s="251"/>
      <c r="G343" s="251"/>
      <c r="H343" s="251"/>
      <c r="I343" s="251"/>
      <c r="J343" s="251"/>
      <c r="K343" s="251"/>
      <c r="L343" s="251"/>
      <c r="M343" s="251"/>
      <c r="N343" s="251"/>
      <c r="O343" s="251"/>
      <c r="P343" s="130"/>
    </row>
    <row r="344" spans="1:64">
      <c r="A344" s="130"/>
      <c r="D344" s="157" t="s">
        <v>1538</v>
      </c>
      <c r="I344" s="156"/>
      <c r="K344" s="155">
        <v>8.44</v>
      </c>
      <c r="O344" s="154"/>
      <c r="P344" s="130"/>
    </row>
    <row r="345" spans="1:64">
      <c r="A345" s="142" t="s">
        <v>821</v>
      </c>
      <c r="B345" s="141" t="s">
        <v>1339</v>
      </c>
      <c r="C345" s="141" t="s">
        <v>1540</v>
      </c>
      <c r="D345" s="243" t="s">
        <v>1539</v>
      </c>
      <c r="E345" s="243"/>
      <c r="F345" s="243"/>
      <c r="G345" s="243"/>
      <c r="H345" s="243"/>
      <c r="I345" s="243"/>
      <c r="J345" s="141" t="s">
        <v>691</v>
      </c>
      <c r="K345" s="137">
        <v>8.44</v>
      </c>
      <c r="L345" s="203">
        <v>0</v>
      </c>
      <c r="M345" s="137">
        <f>K345*L345</f>
        <v>0</v>
      </c>
      <c r="N345" s="137">
        <v>5.0400000000000002E-3</v>
      </c>
      <c r="O345" s="140" t="s">
        <v>1340</v>
      </c>
      <c r="P345" s="130"/>
      <c r="Z345" s="137">
        <f>IF(AQ345="5",BJ345,0)</f>
        <v>0</v>
      </c>
      <c r="AB345" s="137">
        <f>IF(AQ345="1",BH345,0)</f>
        <v>0</v>
      </c>
      <c r="AC345" s="137">
        <f>IF(AQ345="1",BI345,0)</f>
        <v>0</v>
      </c>
      <c r="AD345" s="137">
        <f>IF(AQ345="7",BH345,0)</f>
        <v>0</v>
      </c>
      <c r="AE345" s="137">
        <f>IF(AQ345="7",BI345,0)</f>
        <v>0</v>
      </c>
      <c r="AF345" s="137">
        <f>IF(AQ345="2",BH345,0)</f>
        <v>0</v>
      </c>
      <c r="AG345" s="137">
        <f>IF(AQ345="2",BI345,0)</f>
        <v>0</v>
      </c>
      <c r="AH345" s="137">
        <f>IF(AQ345="0",BJ345,0)</f>
        <v>0</v>
      </c>
      <c r="AI345" s="138" t="s">
        <v>1339</v>
      </c>
      <c r="AJ345" s="137">
        <f>IF(AN345=0,M345,0)</f>
        <v>0</v>
      </c>
      <c r="AK345" s="137">
        <f>IF(AN345=15,M345,0)</f>
        <v>0</v>
      </c>
      <c r="AL345" s="137">
        <f>IF(AN345=21,M345,0)</f>
        <v>0</v>
      </c>
      <c r="AN345" s="137">
        <v>21</v>
      </c>
      <c r="AO345" s="137">
        <f>L345*0.2071875</f>
        <v>0</v>
      </c>
      <c r="AP345" s="137">
        <f>L345*(1-0.2071875)</f>
        <v>0</v>
      </c>
      <c r="AQ345" s="139" t="s">
        <v>352</v>
      </c>
      <c r="AV345" s="137">
        <f>AW345+AX345</f>
        <v>0</v>
      </c>
      <c r="AW345" s="137">
        <f>K345*AO345</f>
        <v>0</v>
      </c>
      <c r="AX345" s="137">
        <f>K345*AP345</f>
        <v>0</v>
      </c>
      <c r="AY345" s="139" t="s">
        <v>1523</v>
      </c>
      <c r="AZ345" s="139" t="s">
        <v>1493</v>
      </c>
      <c r="BA345" s="138" t="s">
        <v>1336</v>
      </c>
      <c r="BC345" s="137">
        <f>AW345+AX345</f>
        <v>0</v>
      </c>
      <c r="BD345" s="137">
        <f>L345/(100-BE345)*100</f>
        <v>0</v>
      </c>
      <c r="BE345" s="137">
        <v>0</v>
      </c>
      <c r="BF345" s="137">
        <f>345</f>
        <v>345</v>
      </c>
      <c r="BH345" s="137">
        <f>K345*AO345</f>
        <v>0</v>
      </c>
      <c r="BI345" s="137">
        <f>K345*AP345</f>
        <v>0</v>
      </c>
      <c r="BJ345" s="137">
        <f>K345*L345</f>
        <v>0</v>
      </c>
      <c r="BK345" s="137" t="s">
        <v>442</v>
      </c>
      <c r="BL345" s="137">
        <v>771</v>
      </c>
    </row>
    <row r="346" spans="1:64">
      <c r="A346" s="130"/>
      <c r="D346" s="157" t="s">
        <v>1538</v>
      </c>
      <c r="I346" s="156"/>
      <c r="K346" s="155">
        <v>8.44</v>
      </c>
      <c r="O346" s="154"/>
      <c r="P346" s="130"/>
    </row>
    <row r="347" spans="1:64">
      <c r="A347" s="142" t="s">
        <v>177</v>
      </c>
      <c r="B347" s="141" t="s">
        <v>1339</v>
      </c>
      <c r="C347" s="141" t="s">
        <v>1537</v>
      </c>
      <c r="D347" s="243" t="s">
        <v>1536</v>
      </c>
      <c r="E347" s="243"/>
      <c r="F347" s="243"/>
      <c r="G347" s="243"/>
      <c r="H347" s="243"/>
      <c r="I347" s="243"/>
      <c r="J347" s="141" t="s">
        <v>691</v>
      </c>
      <c r="K347" s="137">
        <v>10.332000000000001</v>
      </c>
      <c r="L347" s="203">
        <v>0</v>
      </c>
      <c r="M347" s="137">
        <f>K347*L347</f>
        <v>0</v>
      </c>
      <c r="N347" s="137">
        <v>1.9199999999999998E-2</v>
      </c>
      <c r="O347" s="140" t="s">
        <v>1340</v>
      </c>
      <c r="P347" s="130"/>
      <c r="Z347" s="137">
        <f>IF(AQ347="5",BJ347,0)</f>
        <v>0</v>
      </c>
      <c r="AB347" s="137">
        <f>IF(AQ347="1",BH347,0)</f>
        <v>0</v>
      </c>
      <c r="AC347" s="137">
        <f>IF(AQ347="1",BI347,0)</f>
        <v>0</v>
      </c>
      <c r="AD347" s="137">
        <f>IF(AQ347="7",BH347,0)</f>
        <v>0</v>
      </c>
      <c r="AE347" s="137">
        <f>IF(AQ347="7",BI347,0)</f>
        <v>0</v>
      </c>
      <c r="AF347" s="137">
        <f>IF(AQ347="2",BH347,0)</f>
        <v>0</v>
      </c>
      <c r="AG347" s="137">
        <f>IF(AQ347="2",BI347,0)</f>
        <v>0</v>
      </c>
      <c r="AH347" s="137">
        <f>IF(AQ347="0",BJ347,0)</f>
        <v>0</v>
      </c>
      <c r="AI347" s="138" t="s">
        <v>1339</v>
      </c>
      <c r="AJ347" s="137">
        <f>IF(AN347=0,M347,0)</f>
        <v>0</v>
      </c>
      <c r="AK347" s="137">
        <f>IF(AN347=15,M347,0)</f>
        <v>0</v>
      </c>
      <c r="AL347" s="137">
        <f>IF(AN347=21,M347,0)</f>
        <v>0</v>
      </c>
      <c r="AN347" s="137">
        <v>21</v>
      </c>
      <c r="AO347" s="137">
        <f>L347*1</f>
        <v>0</v>
      </c>
      <c r="AP347" s="137">
        <f>L347*(1-1)</f>
        <v>0</v>
      </c>
      <c r="AQ347" s="139" t="s">
        <v>352</v>
      </c>
      <c r="AV347" s="137">
        <f>AW347+AX347</f>
        <v>0</v>
      </c>
      <c r="AW347" s="137">
        <f>K347*AO347</f>
        <v>0</v>
      </c>
      <c r="AX347" s="137">
        <f>K347*AP347</f>
        <v>0</v>
      </c>
      <c r="AY347" s="139" t="s">
        <v>1523</v>
      </c>
      <c r="AZ347" s="139" t="s">
        <v>1493</v>
      </c>
      <c r="BA347" s="138" t="s">
        <v>1336</v>
      </c>
      <c r="BC347" s="137">
        <f>AW347+AX347</f>
        <v>0</v>
      </c>
      <c r="BD347" s="137">
        <f>L347/(100-BE347)*100</f>
        <v>0</v>
      </c>
      <c r="BE347" s="137">
        <v>0</v>
      </c>
      <c r="BF347" s="137">
        <f>347</f>
        <v>347</v>
      </c>
      <c r="BH347" s="137">
        <f>K347*AO347</f>
        <v>0</v>
      </c>
      <c r="BI347" s="137">
        <f>K347*AP347</f>
        <v>0</v>
      </c>
      <c r="BJ347" s="137">
        <f>K347*L347</f>
        <v>0</v>
      </c>
      <c r="BK347" s="137" t="s">
        <v>750</v>
      </c>
      <c r="BL347" s="137">
        <v>771</v>
      </c>
    </row>
    <row r="348" spans="1:64">
      <c r="A348" s="130"/>
      <c r="D348" s="157" t="s">
        <v>1535</v>
      </c>
      <c r="I348" s="156"/>
      <c r="K348" s="155">
        <v>9.84</v>
      </c>
      <c r="O348" s="154"/>
      <c r="P348" s="130"/>
    </row>
    <row r="349" spans="1:64">
      <c r="A349" s="130"/>
      <c r="D349" s="157" t="s">
        <v>1534</v>
      </c>
      <c r="I349" s="156"/>
      <c r="K349" s="155">
        <v>0.49199999999999999</v>
      </c>
      <c r="O349" s="154"/>
      <c r="P349" s="130"/>
    </row>
    <row r="350" spans="1:64">
      <c r="A350" s="142" t="s">
        <v>813</v>
      </c>
      <c r="B350" s="141" t="s">
        <v>1339</v>
      </c>
      <c r="C350" s="141" t="s">
        <v>1533</v>
      </c>
      <c r="D350" s="243" t="s">
        <v>1532</v>
      </c>
      <c r="E350" s="243"/>
      <c r="F350" s="243"/>
      <c r="G350" s="243"/>
      <c r="H350" s="243"/>
      <c r="I350" s="243"/>
      <c r="J350" s="141" t="s">
        <v>21</v>
      </c>
      <c r="K350" s="137">
        <v>13.15</v>
      </c>
      <c r="L350" s="203">
        <v>0</v>
      </c>
      <c r="M350" s="137">
        <f>K350*L350</f>
        <v>0</v>
      </c>
      <c r="N350" s="137">
        <v>3.2000000000000003E-4</v>
      </c>
      <c r="O350" s="140" t="s">
        <v>1340</v>
      </c>
      <c r="P350" s="130"/>
      <c r="Z350" s="137">
        <f>IF(AQ350="5",BJ350,0)</f>
        <v>0</v>
      </c>
      <c r="AB350" s="137">
        <f>IF(AQ350="1",BH350,0)</f>
        <v>0</v>
      </c>
      <c r="AC350" s="137">
        <f>IF(AQ350="1",BI350,0)</f>
        <v>0</v>
      </c>
      <c r="AD350" s="137">
        <f>IF(AQ350="7",BH350,0)</f>
        <v>0</v>
      </c>
      <c r="AE350" s="137">
        <f>IF(AQ350="7",BI350,0)</f>
        <v>0</v>
      </c>
      <c r="AF350" s="137">
        <f>IF(AQ350="2",BH350,0)</f>
        <v>0</v>
      </c>
      <c r="AG350" s="137">
        <f>IF(AQ350="2",BI350,0)</f>
        <v>0</v>
      </c>
      <c r="AH350" s="137">
        <f>IF(AQ350="0",BJ350,0)</f>
        <v>0</v>
      </c>
      <c r="AI350" s="138" t="s">
        <v>1339</v>
      </c>
      <c r="AJ350" s="137">
        <f>IF(AN350=0,M350,0)</f>
        <v>0</v>
      </c>
      <c r="AK350" s="137">
        <f>IF(AN350=15,M350,0)</f>
        <v>0</v>
      </c>
      <c r="AL350" s="137">
        <f>IF(AN350=21,M350,0)</f>
        <v>0</v>
      </c>
      <c r="AN350" s="137">
        <v>21</v>
      </c>
      <c r="AO350" s="137">
        <f>L350*0.0793292048352604</f>
        <v>0</v>
      </c>
      <c r="AP350" s="137">
        <f>L350*(1-0.0793292048352604)</f>
        <v>0</v>
      </c>
      <c r="AQ350" s="139" t="s">
        <v>352</v>
      </c>
      <c r="AV350" s="137">
        <f>AW350+AX350</f>
        <v>0</v>
      </c>
      <c r="AW350" s="137">
        <f>K350*AO350</f>
        <v>0</v>
      </c>
      <c r="AX350" s="137">
        <f>K350*AP350</f>
        <v>0</v>
      </c>
      <c r="AY350" s="139" t="s">
        <v>1523</v>
      </c>
      <c r="AZ350" s="139" t="s">
        <v>1493</v>
      </c>
      <c r="BA350" s="138" t="s">
        <v>1336</v>
      </c>
      <c r="BC350" s="137">
        <f>AW350+AX350</f>
        <v>0</v>
      </c>
      <c r="BD350" s="137">
        <f>L350/(100-BE350)*100</f>
        <v>0</v>
      </c>
      <c r="BE350" s="137">
        <v>0</v>
      </c>
      <c r="BF350" s="137">
        <f>350</f>
        <v>350</v>
      </c>
      <c r="BH350" s="137">
        <f>K350*AO350</f>
        <v>0</v>
      </c>
      <c r="BI350" s="137">
        <f>K350*AP350</f>
        <v>0</v>
      </c>
      <c r="BJ350" s="137">
        <f>K350*L350</f>
        <v>0</v>
      </c>
      <c r="BK350" s="137" t="s">
        <v>442</v>
      </c>
      <c r="BL350" s="137">
        <v>771</v>
      </c>
    </row>
    <row r="351" spans="1:64">
      <c r="A351" s="130"/>
      <c r="D351" s="157" t="s">
        <v>1531</v>
      </c>
      <c r="I351" s="156"/>
      <c r="K351" s="155">
        <v>13.15</v>
      </c>
      <c r="O351" s="154"/>
      <c r="P351" s="130"/>
    </row>
    <row r="352" spans="1:64">
      <c r="A352" s="142" t="s">
        <v>174</v>
      </c>
      <c r="B352" s="141" t="s">
        <v>1339</v>
      </c>
      <c r="C352" s="141" t="s">
        <v>1530</v>
      </c>
      <c r="D352" s="243" t="s">
        <v>1529</v>
      </c>
      <c r="E352" s="243"/>
      <c r="F352" s="243"/>
      <c r="G352" s="243"/>
      <c r="H352" s="243"/>
      <c r="I352" s="243"/>
      <c r="J352" s="141" t="s">
        <v>8</v>
      </c>
      <c r="K352" s="137">
        <v>5</v>
      </c>
      <c r="L352" s="203">
        <v>0</v>
      </c>
      <c r="M352" s="137">
        <f>K352*L352</f>
        <v>0</v>
      </c>
      <c r="N352" s="137">
        <v>0</v>
      </c>
      <c r="O352" s="140" t="s">
        <v>1302</v>
      </c>
      <c r="P352" s="130"/>
      <c r="Z352" s="137">
        <f>IF(AQ352="5",BJ352,0)</f>
        <v>0</v>
      </c>
      <c r="AB352" s="137">
        <f>IF(AQ352="1",BH352,0)</f>
        <v>0</v>
      </c>
      <c r="AC352" s="137">
        <f>IF(AQ352="1",BI352,0)</f>
        <v>0</v>
      </c>
      <c r="AD352" s="137">
        <f>IF(AQ352="7",BH352,0)</f>
        <v>0</v>
      </c>
      <c r="AE352" s="137">
        <f>IF(AQ352="7",BI352,0)</f>
        <v>0</v>
      </c>
      <c r="AF352" s="137">
        <f>IF(AQ352="2",BH352,0)</f>
        <v>0</v>
      </c>
      <c r="AG352" s="137">
        <f>IF(AQ352="2",BI352,0)</f>
        <v>0</v>
      </c>
      <c r="AH352" s="137">
        <f>IF(AQ352="0",BJ352,0)</f>
        <v>0</v>
      </c>
      <c r="AI352" s="138" t="s">
        <v>1339</v>
      </c>
      <c r="AJ352" s="137">
        <f>IF(AN352=0,M352,0)</f>
        <v>0</v>
      </c>
      <c r="AK352" s="137">
        <f>IF(AN352=15,M352,0)</f>
        <v>0</v>
      </c>
      <c r="AL352" s="137">
        <f>IF(AN352=21,M352,0)</f>
        <v>0</v>
      </c>
      <c r="AN352" s="137">
        <v>21</v>
      </c>
      <c r="AO352" s="137">
        <f>L352*0</f>
        <v>0</v>
      </c>
      <c r="AP352" s="137">
        <f>L352*(1-0)</f>
        <v>0</v>
      </c>
      <c r="AQ352" s="139" t="s">
        <v>352</v>
      </c>
      <c r="AV352" s="137">
        <f>AW352+AX352</f>
        <v>0</v>
      </c>
      <c r="AW352" s="137">
        <f>K352*AO352</f>
        <v>0</v>
      </c>
      <c r="AX352" s="137">
        <f>K352*AP352</f>
        <v>0</v>
      </c>
      <c r="AY352" s="139" t="s">
        <v>1523</v>
      </c>
      <c r="AZ352" s="139" t="s">
        <v>1493</v>
      </c>
      <c r="BA352" s="138" t="s">
        <v>1336</v>
      </c>
      <c r="BC352" s="137">
        <f>AW352+AX352</f>
        <v>0</v>
      </c>
      <c r="BD352" s="137">
        <f>L352/(100-BE352)*100</f>
        <v>0</v>
      </c>
      <c r="BE352" s="137">
        <v>0</v>
      </c>
      <c r="BF352" s="137">
        <f>352</f>
        <v>352</v>
      </c>
      <c r="BH352" s="137">
        <f>K352*AO352</f>
        <v>0</v>
      </c>
      <c r="BI352" s="137">
        <f>K352*AP352</f>
        <v>0</v>
      </c>
      <c r="BJ352" s="137">
        <f>K352*L352</f>
        <v>0</v>
      </c>
      <c r="BK352" s="137" t="s">
        <v>442</v>
      </c>
      <c r="BL352" s="137">
        <v>771</v>
      </c>
    </row>
    <row r="353" spans="1:64" ht="14.65" customHeight="1">
      <c r="A353" s="130"/>
      <c r="D353" s="251" t="s">
        <v>1528</v>
      </c>
      <c r="E353" s="251"/>
      <c r="F353" s="251"/>
      <c r="G353" s="251"/>
      <c r="H353" s="251"/>
      <c r="I353" s="251"/>
      <c r="J353" s="251"/>
      <c r="K353" s="251"/>
      <c r="L353" s="251"/>
      <c r="M353" s="251"/>
      <c r="N353" s="251"/>
      <c r="O353" s="251"/>
      <c r="P353" s="130"/>
    </row>
    <row r="354" spans="1:64">
      <c r="A354" s="130"/>
      <c r="D354" s="157" t="s">
        <v>1527</v>
      </c>
      <c r="I354" s="156"/>
      <c r="K354" s="155">
        <v>1</v>
      </c>
      <c r="O354" s="154"/>
      <c r="P354" s="130"/>
    </row>
    <row r="355" spans="1:64">
      <c r="A355" s="130"/>
      <c r="D355" s="157" t="s">
        <v>1526</v>
      </c>
      <c r="I355" s="156"/>
      <c r="K355" s="155">
        <v>4</v>
      </c>
      <c r="O355" s="154"/>
      <c r="P355" s="130"/>
    </row>
    <row r="356" spans="1:64">
      <c r="A356" s="142" t="s">
        <v>805</v>
      </c>
      <c r="B356" s="141" t="s">
        <v>1339</v>
      </c>
      <c r="C356" s="141" t="s">
        <v>1525</v>
      </c>
      <c r="D356" s="243" t="s">
        <v>1524</v>
      </c>
      <c r="E356" s="243"/>
      <c r="F356" s="243"/>
      <c r="G356" s="243"/>
      <c r="H356" s="243"/>
      <c r="I356" s="243"/>
      <c r="J356" s="141" t="s">
        <v>735</v>
      </c>
      <c r="K356" s="137">
        <v>0.24689</v>
      </c>
      <c r="L356" s="203">
        <v>0</v>
      </c>
      <c r="M356" s="137">
        <f>K356*L356</f>
        <v>0</v>
      </c>
      <c r="N356" s="137">
        <v>0</v>
      </c>
      <c r="O356" s="140" t="s">
        <v>1340</v>
      </c>
      <c r="P356" s="130"/>
      <c r="Z356" s="137">
        <f>IF(AQ356="5",BJ356,0)</f>
        <v>0</v>
      </c>
      <c r="AB356" s="137">
        <f>IF(AQ356="1",BH356,0)</f>
        <v>0</v>
      </c>
      <c r="AC356" s="137">
        <f>IF(AQ356="1",BI356,0)</f>
        <v>0</v>
      </c>
      <c r="AD356" s="137">
        <f>IF(AQ356="7",BH356,0)</f>
        <v>0</v>
      </c>
      <c r="AE356" s="137">
        <f>IF(AQ356="7",BI356,0)</f>
        <v>0</v>
      </c>
      <c r="AF356" s="137">
        <f>IF(AQ356="2",BH356,0)</f>
        <v>0</v>
      </c>
      <c r="AG356" s="137">
        <f>IF(AQ356="2",BI356,0)</f>
        <v>0</v>
      </c>
      <c r="AH356" s="137">
        <f>IF(AQ356="0",BJ356,0)</f>
        <v>0</v>
      </c>
      <c r="AI356" s="138" t="s">
        <v>1339</v>
      </c>
      <c r="AJ356" s="137">
        <f>IF(AN356=0,M356,0)</f>
        <v>0</v>
      </c>
      <c r="AK356" s="137">
        <f>IF(AN356=15,M356,0)</f>
        <v>0</v>
      </c>
      <c r="AL356" s="137">
        <f>IF(AN356=21,M356,0)</f>
        <v>0</v>
      </c>
      <c r="AN356" s="137">
        <v>21</v>
      </c>
      <c r="AO356" s="137">
        <f>L356*0</f>
        <v>0</v>
      </c>
      <c r="AP356" s="137">
        <f>L356*(1-0)</f>
        <v>0</v>
      </c>
      <c r="AQ356" s="139" t="s">
        <v>357</v>
      </c>
      <c r="AV356" s="137">
        <f>AW356+AX356</f>
        <v>0</v>
      </c>
      <c r="AW356" s="137">
        <f>K356*AO356</f>
        <v>0</v>
      </c>
      <c r="AX356" s="137">
        <f>K356*AP356</f>
        <v>0</v>
      </c>
      <c r="AY356" s="139" t="s">
        <v>1523</v>
      </c>
      <c r="AZ356" s="139" t="s">
        <v>1493</v>
      </c>
      <c r="BA356" s="138" t="s">
        <v>1336</v>
      </c>
      <c r="BC356" s="137">
        <f>AW356+AX356</f>
        <v>0</v>
      </c>
      <c r="BD356" s="137">
        <f>L356/(100-BE356)*100</f>
        <v>0</v>
      </c>
      <c r="BE356" s="137">
        <v>0</v>
      </c>
      <c r="BF356" s="137">
        <f>356</f>
        <v>356</v>
      </c>
      <c r="BH356" s="137">
        <f>K356*AO356</f>
        <v>0</v>
      </c>
      <c r="BI356" s="137">
        <f>K356*AP356</f>
        <v>0</v>
      </c>
      <c r="BJ356" s="137">
        <f>K356*L356</f>
        <v>0</v>
      </c>
      <c r="BK356" s="137" t="s">
        <v>442</v>
      </c>
      <c r="BL356" s="137">
        <v>771</v>
      </c>
    </row>
    <row r="357" spans="1:64">
      <c r="A357" s="147"/>
      <c r="B357" s="146" t="s">
        <v>1339</v>
      </c>
      <c r="C357" s="146" t="s">
        <v>1522</v>
      </c>
      <c r="D357" s="252" t="s">
        <v>1521</v>
      </c>
      <c r="E357" s="252"/>
      <c r="F357" s="252"/>
      <c r="G357" s="252"/>
      <c r="H357" s="252"/>
      <c r="I357" s="252"/>
      <c r="J357" s="145" t="s">
        <v>1305</v>
      </c>
      <c r="K357" s="145" t="s">
        <v>1305</v>
      </c>
      <c r="L357" s="145" t="s">
        <v>1305</v>
      </c>
      <c r="M357" s="143">
        <f>SUM(M358:M377)</f>
        <v>0</v>
      </c>
      <c r="N357" s="138"/>
      <c r="O357" s="144"/>
      <c r="P357" s="130"/>
      <c r="AI357" s="138" t="s">
        <v>1339</v>
      </c>
      <c r="AS357" s="143">
        <f>SUM(AJ358:AJ377)</f>
        <v>0</v>
      </c>
      <c r="AT357" s="143">
        <f>SUM(AK358:AK377)</f>
        <v>0</v>
      </c>
      <c r="AU357" s="143">
        <f>SUM(AL358:AL377)</f>
        <v>0</v>
      </c>
    </row>
    <row r="358" spans="1:64">
      <c r="A358" s="142" t="s">
        <v>170</v>
      </c>
      <c r="B358" s="141" t="s">
        <v>1339</v>
      </c>
      <c r="C358" s="141" t="s">
        <v>1520</v>
      </c>
      <c r="D358" s="243" t="s">
        <v>1519</v>
      </c>
      <c r="E358" s="243"/>
      <c r="F358" s="243"/>
      <c r="G358" s="243"/>
      <c r="H358" s="243"/>
      <c r="I358" s="243"/>
      <c r="J358" s="141" t="s">
        <v>691</v>
      </c>
      <c r="K358" s="137">
        <v>11.68</v>
      </c>
      <c r="L358" s="203">
        <v>0</v>
      </c>
      <c r="M358" s="137">
        <f>K358*L358</f>
        <v>0</v>
      </c>
      <c r="N358" s="137">
        <v>0</v>
      </c>
      <c r="O358" s="140" t="s">
        <v>1340</v>
      </c>
      <c r="P358" s="130"/>
      <c r="Z358" s="137">
        <f>IF(AQ358="5",BJ358,0)</f>
        <v>0</v>
      </c>
      <c r="AB358" s="137">
        <f>IF(AQ358="1",BH358,0)</f>
        <v>0</v>
      </c>
      <c r="AC358" s="137">
        <f>IF(AQ358="1",BI358,0)</f>
        <v>0</v>
      </c>
      <c r="AD358" s="137">
        <f>IF(AQ358="7",BH358,0)</f>
        <v>0</v>
      </c>
      <c r="AE358" s="137">
        <f>IF(AQ358="7",BI358,0)</f>
        <v>0</v>
      </c>
      <c r="AF358" s="137">
        <f>IF(AQ358="2",BH358,0)</f>
        <v>0</v>
      </c>
      <c r="AG358" s="137">
        <f>IF(AQ358="2",BI358,0)</f>
        <v>0</v>
      </c>
      <c r="AH358" s="137">
        <f>IF(AQ358="0",BJ358,0)</f>
        <v>0</v>
      </c>
      <c r="AI358" s="138" t="s">
        <v>1339</v>
      </c>
      <c r="AJ358" s="137">
        <f>IF(AN358=0,M358,0)</f>
        <v>0</v>
      </c>
      <c r="AK358" s="137">
        <f>IF(AN358=15,M358,0)</f>
        <v>0</v>
      </c>
      <c r="AL358" s="137">
        <f>IF(AN358=21,M358,0)</f>
        <v>0</v>
      </c>
      <c r="AN358" s="137">
        <v>21</v>
      </c>
      <c r="AO358" s="137">
        <f>L358*0</f>
        <v>0</v>
      </c>
      <c r="AP358" s="137">
        <f>L358*(1-0)</f>
        <v>0</v>
      </c>
      <c r="AQ358" s="139" t="s">
        <v>352</v>
      </c>
      <c r="AV358" s="137">
        <f>AW358+AX358</f>
        <v>0</v>
      </c>
      <c r="AW358" s="137">
        <f>K358*AO358</f>
        <v>0</v>
      </c>
      <c r="AX358" s="137">
        <f>K358*AP358</f>
        <v>0</v>
      </c>
      <c r="AY358" s="139" t="s">
        <v>1494</v>
      </c>
      <c r="AZ358" s="139" t="s">
        <v>1493</v>
      </c>
      <c r="BA358" s="138" t="s">
        <v>1336</v>
      </c>
      <c r="BC358" s="137">
        <f>AW358+AX358</f>
        <v>0</v>
      </c>
      <c r="BD358" s="137">
        <f>L358/(100-BE358)*100</f>
        <v>0</v>
      </c>
      <c r="BE358" s="137">
        <v>0</v>
      </c>
      <c r="BF358" s="137">
        <f>358</f>
        <v>358</v>
      </c>
      <c r="BH358" s="137">
        <f>K358*AO358</f>
        <v>0</v>
      </c>
      <c r="BI358" s="137">
        <f>K358*AP358</f>
        <v>0</v>
      </c>
      <c r="BJ358" s="137">
        <f>K358*L358</f>
        <v>0</v>
      </c>
      <c r="BK358" s="137" t="s">
        <v>442</v>
      </c>
      <c r="BL358" s="137">
        <v>776</v>
      </c>
    </row>
    <row r="359" spans="1:64" ht="14.65" customHeight="1">
      <c r="A359" s="130"/>
      <c r="D359" s="251" t="s">
        <v>1518</v>
      </c>
      <c r="E359" s="251"/>
      <c r="F359" s="251"/>
      <c r="G359" s="251"/>
      <c r="H359" s="251"/>
      <c r="I359" s="251"/>
      <c r="J359" s="251"/>
      <c r="K359" s="251"/>
      <c r="L359" s="251"/>
      <c r="M359" s="251"/>
      <c r="N359" s="251"/>
      <c r="O359" s="251"/>
      <c r="P359" s="130"/>
    </row>
    <row r="360" spans="1:64">
      <c r="A360" s="130"/>
      <c r="D360" s="157" t="s">
        <v>1514</v>
      </c>
      <c r="I360" s="156"/>
      <c r="K360" s="155">
        <v>11.68</v>
      </c>
      <c r="O360" s="154"/>
      <c r="P360" s="130"/>
    </row>
    <row r="361" spans="1:64">
      <c r="A361" s="142" t="s">
        <v>797</v>
      </c>
      <c r="B361" s="141" t="s">
        <v>1339</v>
      </c>
      <c r="C361" s="141" t="s">
        <v>1517</v>
      </c>
      <c r="D361" s="243" t="s">
        <v>1516</v>
      </c>
      <c r="E361" s="243"/>
      <c r="F361" s="243"/>
      <c r="G361" s="243"/>
      <c r="H361" s="243"/>
      <c r="I361" s="243"/>
      <c r="J361" s="141" t="s">
        <v>691</v>
      </c>
      <c r="K361" s="137">
        <v>11.68</v>
      </c>
      <c r="L361" s="203">
        <v>0</v>
      </c>
      <c r="M361" s="137">
        <f>K361*L361</f>
        <v>0</v>
      </c>
      <c r="N361" s="137">
        <v>2.7000000000000001E-3</v>
      </c>
      <c r="O361" s="140" t="s">
        <v>1340</v>
      </c>
      <c r="P361" s="130"/>
      <c r="Z361" s="137">
        <f>IF(AQ361="5",BJ361,0)</f>
        <v>0</v>
      </c>
      <c r="AB361" s="137">
        <f>IF(AQ361="1",BH361,0)</f>
        <v>0</v>
      </c>
      <c r="AC361" s="137">
        <f>IF(AQ361="1",BI361,0)</f>
        <v>0</v>
      </c>
      <c r="AD361" s="137">
        <f>IF(AQ361="7",BH361,0)</f>
        <v>0</v>
      </c>
      <c r="AE361" s="137">
        <f>IF(AQ361="7",BI361,0)</f>
        <v>0</v>
      </c>
      <c r="AF361" s="137">
        <f>IF(AQ361="2",BH361,0)</f>
        <v>0</v>
      </c>
      <c r="AG361" s="137">
        <f>IF(AQ361="2",BI361,0)</f>
        <v>0</v>
      </c>
      <c r="AH361" s="137">
        <f>IF(AQ361="0",BJ361,0)</f>
        <v>0</v>
      </c>
      <c r="AI361" s="138" t="s">
        <v>1339</v>
      </c>
      <c r="AJ361" s="137">
        <f>IF(AN361=0,M361,0)</f>
        <v>0</v>
      </c>
      <c r="AK361" s="137">
        <f>IF(AN361=15,M361,0)</f>
        <v>0</v>
      </c>
      <c r="AL361" s="137">
        <f>IF(AN361=21,M361,0)</f>
        <v>0</v>
      </c>
      <c r="AN361" s="137">
        <v>21</v>
      </c>
      <c r="AO361" s="137">
        <f>L361*0.690711385893848</f>
        <v>0</v>
      </c>
      <c r="AP361" s="137">
        <f>L361*(1-0.690711385893848)</f>
        <v>0</v>
      </c>
      <c r="AQ361" s="139" t="s">
        <v>352</v>
      </c>
      <c r="AV361" s="137">
        <f>AW361+AX361</f>
        <v>0</v>
      </c>
      <c r="AW361" s="137">
        <f>K361*AO361</f>
        <v>0</v>
      </c>
      <c r="AX361" s="137">
        <f>K361*AP361</f>
        <v>0</v>
      </c>
      <c r="AY361" s="139" t="s">
        <v>1494</v>
      </c>
      <c r="AZ361" s="139" t="s">
        <v>1493</v>
      </c>
      <c r="BA361" s="138" t="s">
        <v>1336</v>
      </c>
      <c r="BC361" s="137">
        <f>AW361+AX361</f>
        <v>0</v>
      </c>
      <c r="BD361" s="137">
        <f>L361/(100-BE361)*100</f>
        <v>0</v>
      </c>
      <c r="BE361" s="137">
        <v>0</v>
      </c>
      <c r="BF361" s="137">
        <f>361</f>
        <v>361</v>
      </c>
      <c r="BH361" s="137">
        <f>K361*AO361</f>
        <v>0</v>
      </c>
      <c r="BI361" s="137">
        <f>K361*AP361</f>
        <v>0</v>
      </c>
      <c r="BJ361" s="137">
        <f>K361*L361</f>
        <v>0</v>
      </c>
      <c r="BK361" s="137" t="s">
        <v>442</v>
      </c>
      <c r="BL361" s="137">
        <v>776</v>
      </c>
    </row>
    <row r="362" spans="1:64" ht="14.65" customHeight="1">
      <c r="A362" s="130"/>
      <c r="D362" s="251" t="s">
        <v>1515</v>
      </c>
      <c r="E362" s="251"/>
      <c r="F362" s="251"/>
      <c r="G362" s="251"/>
      <c r="H362" s="251"/>
      <c r="I362" s="251"/>
      <c r="J362" s="251"/>
      <c r="K362" s="251"/>
      <c r="L362" s="251"/>
      <c r="M362" s="251"/>
      <c r="N362" s="251"/>
      <c r="O362" s="251"/>
      <c r="P362" s="130"/>
    </row>
    <row r="363" spans="1:64">
      <c r="A363" s="130"/>
      <c r="D363" s="157" t="s">
        <v>1514</v>
      </c>
      <c r="I363" s="156"/>
      <c r="K363" s="155">
        <v>11.68</v>
      </c>
      <c r="O363" s="154"/>
      <c r="P363" s="130"/>
    </row>
    <row r="364" spans="1:64">
      <c r="A364" s="142" t="s">
        <v>167</v>
      </c>
      <c r="B364" s="141" t="s">
        <v>1339</v>
      </c>
      <c r="C364" s="141" t="s">
        <v>1513</v>
      </c>
      <c r="D364" s="243" t="s">
        <v>1512</v>
      </c>
      <c r="E364" s="243"/>
      <c r="F364" s="243"/>
      <c r="G364" s="243"/>
      <c r="H364" s="243"/>
      <c r="I364" s="243"/>
      <c r="J364" s="141" t="s">
        <v>21</v>
      </c>
      <c r="K364" s="137">
        <v>31.2</v>
      </c>
      <c r="L364" s="203">
        <v>0</v>
      </c>
      <c r="M364" s="137">
        <f>K364*L364</f>
        <v>0</v>
      </c>
      <c r="N364" s="137">
        <v>0</v>
      </c>
      <c r="O364" s="140" t="s">
        <v>1340</v>
      </c>
      <c r="P364" s="130"/>
      <c r="Z364" s="137">
        <f>IF(AQ364="5",BJ364,0)</f>
        <v>0</v>
      </c>
      <c r="AB364" s="137">
        <f>IF(AQ364="1",BH364,0)</f>
        <v>0</v>
      </c>
      <c r="AC364" s="137">
        <f>IF(AQ364="1",BI364,0)</f>
        <v>0</v>
      </c>
      <c r="AD364" s="137">
        <f>IF(AQ364="7",BH364,0)</f>
        <v>0</v>
      </c>
      <c r="AE364" s="137">
        <f>IF(AQ364="7",BI364,0)</f>
        <v>0</v>
      </c>
      <c r="AF364" s="137">
        <f>IF(AQ364="2",BH364,0)</f>
        <v>0</v>
      </c>
      <c r="AG364" s="137">
        <f>IF(AQ364="2",BI364,0)</f>
        <v>0</v>
      </c>
      <c r="AH364" s="137">
        <f>IF(AQ364="0",BJ364,0)</f>
        <v>0</v>
      </c>
      <c r="AI364" s="138" t="s">
        <v>1339</v>
      </c>
      <c r="AJ364" s="137">
        <f>IF(AN364=0,M364,0)</f>
        <v>0</v>
      </c>
      <c r="AK364" s="137">
        <f>IF(AN364=15,M364,0)</f>
        <v>0</v>
      </c>
      <c r="AL364" s="137">
        <f>IF(AN364=21,M364,0)</f>
        <v>0</v>
      </c>
      <c r="AN364" s="137">
        <v>21</v>
      </c>
      <c r="AO364" s="137">
        <f>L364*0</f>
        <v>0</v>
      </c>
      <c r="AP364" s="137">
        <f>L364*(1-0)</f>
        <v>0</v>
      </c>
      <c r="AQ364" s="139" t="s">
        <v>352</v>
      </c>
      <c r="AV364" s="137">
        <f>AW364+AX364</f>
        <v>0</v>
      </c>
      <c r="AW364" s="137">
        <f>K364*AO364</f>
        <v>0</v>
      </c>
      <c r="AX364" s="137">
        <f>K364*AP364</f>
        <v>0</v>
      </c>
      <c r="AY364" s="139" t="s">
        <v>1494</v>
      </c>
      <c r="AZ364" s="139" t="s">
        <v>1493</v>
      </c>
      <c r="BA364" s="138" t="s">
        <v>1336</v>
      </c>
      <c r="BC364" s="137">
        <f>AW364+AX364</f>
        <v>0</v>
      </c>
      <c r="BD364" s="137">
        <f>L364/(100-BE364)*100</f>
        <v>0</v>
      </c>
      <c r="BE364" s="137">
        <v>0</v>
      </c>
      <c r="BF364" s="137">
        <f>364</f>
        <v>364</v>
      </c>
      <c r="BH364" s="137">
        <f>K364*AO364</f>
        <v>0</v>
      </c>
      <c r="BI364" s="137">
        <f>K364*AP364</f>
        <v>0</v>
      </c>
      <c r="BJ364" s="137">
        <f>K364*L364</f>
        <v>0</v>
      </c>
      <c r="BK364" s="137" t="s">
        <v>442</v>
      </c>
      <c r="BL364" s="137">
        <v>776</v>
      </c>
    </row>
    <row r="365" spans="1:64" ht="14.65" customHeight="1">
      <c r="A365" s="130"/>
      <c r="D365" s="251" t="s">
        <v>1511</v>
      </c>
      <c r="E365" s="251"/>
      <c r="F365" s="251"/>
      <c r="G365" s="251"/>
      <c r="H365" s="251"/>
      <c r="I365" s="251"/>
      <c r="J365" s="251"/>
      <c r="K365" s="251"/>
      <c r="L365" s="251"/>
      <c r="M365" s="251"/>
      <c r="N365" s="251"/>
      <c r="O365" s="251"/>
      <c r="P365" s="130"/>
    </row>
    <row r="366" spans="1:64">
      <c r="A366" s="130"/>
      <c r="D366" s="157" t="s">
        <v>1510</v>
      </c>
      <c r="I366" s="156"/>
      <c r="K366" s="155">
        <v>31.2</v>
      </c>
      <c r="O366" s="154"/>
      <c r="P366" s="130"/>
    </row>
    <row r="367" spans="1:64">
      <c r="A367" s="142" t="s">
        <v>787</v>
      </c>
      <c r="B367" s="141" t="s">
        <v>1339</v>
      </c>
      <c r="C367" s="141" t="s">
        <v>1509</v>
      </c>
      <c r="D367" s="243" t="s">
        <v>1508</v>
      </c>
      <c r="E367" s="243"/>
      <c r="F367" s="243"/>
      <c r="G367" s="243"/>
      <c r="H367" s="243"/>
      <c r="I367" s="243"/>
      <c r="J367" s="141" t="s">
        <v>21</v>
      </c>
      <c r="K367" s="137">
        <v>31.2</v>
      </c>
      <c r="L367" s="203">
        <v>0</v>
      </c>
      <c r="M367" s="137">
        <f>K367*L367</f>
        <v>0</v>
      </c>
      <c r="N367" s="137">
        <v>8.0000000000000007E-5</v>
      </c>
      <c r="O367" s="140" t="s">
        <v>1340</v>
      </c>
      <c r="P367" s="130"/>
      <c r="Z367" s="137">
        <f>IF(AQ367="5",BJ367,0)</f>
        <v>0</v>
      </c>
      <c r="AB367" s="137">
        <f>IF(AQ367="1",BH367,0)</f>
        <v>0</v>
      </c>
      <c r="AC367" s="137">
        <f>IF(AQ367="1",BI367,0)</f>
        <v>0</v>
      </c>
      <c r="AD367" s="137">
        <f>IF(AQ367="7",BH367,0)</f>
        <v>0</v>
      </c>
      <c r="AE367" s="137">
        <f>IF(AQ367="7",BI367,0)</f>
        <v>0</v>
      </c>
      <c r="AF367" s="137">
        <f>IF(AQ367="2",BH367,0)</f>
        <v>0</v>
      </c>
      <c r="AG367" s="137">
        <f>IF(AQ367="2",BI367,0)</f>
        <v>0</v>
      </c>
      <c r="AH367" s="137">
        <f>IF(AQ367="0",BJ367,0)</f>
        <v>0</v>
      </c>
      <c r="AI367" s="138" t="s">
        <v>1339</v>
      </c>
      <c r="AJ367" s="137">
        <f>IF(AN367=0,M367,0)</f>
        <v>0</v>
      </c>
      <c r="AK367" s="137">
        <f>IF(AN367=15,M367,0)</f>
        <v>0</v>
      </c>
      <c r="AL367" s="137">
        <f>IF(AN367=21,M367,0)</f>
        <v>0</v>
      </c>
      <c r="AN367" s="137">
        <v>21</v>
      </c>
      <c r="AO367" s="137">
        <f>L367*0.322</f>
        <v>0</v>
      </c>
      <c r="AP367" s="137">
        <f>L367*(1-0.322)</f>
        <v>0</v>
      </c>
      <c r="AQ367" s="139" t="s">
        <v>352</v>
      </c>
      <c r="AV367" s="137">
        <f>AW367+AX367</f>
        <v>0</v>
      </c>
      <c r="AW367" s="137">
        <f>K367*AO367</f>
        <v>0</v>
      </c>
      <c r="AX367" s="137">
        <f>K367*AP367</f>
        <v>0</v>
      </c>
      <c r="AY367" s="139" t="s">
        <v>1494</v>
      </c>
      <c r="AZ367" s="139" t="s">
        <v>1493</v>
      </c>
      <c r="BA367" s="138" t="s">
        <v>1336</v>
      </c>
      <c r="BC367" s="137">
        <f>AW367+AX367</f>
        <v>0</v>
      </c>
      <c r="BD367" s="137">
        <f>L367/(100-BE367)*100</f>
        <v>0</v>
      </c>
      <c r="BE367" s="137">
        <v>0</v>
      </c>
      <c r="BF367" s="137">
        <f>367</f>
        <v>367</v>
      </c>
      <c r="BH367" s="137">
        <f>K367*AO367</f>
        <v>0</v>
      </c>
      <c r="BI367" s="137">
        <f>K367*AP367</f>
        <v>0</v>
      </c>
      <c r="BJ367" s="137">
        <f>K367*L367</f>
        <v>0</v>
      </c>
      <c r="BK367" s="137" t="s">
        <v>442</v>
      </c>
      <c r="BL367" s="137">
        <v>776</v>
      </c>
    </row>
    <row r="368" spans="1:64" ht="14.65" customHeight="1">
      <c r="A368" s="130"/>
      <c r="D368" s="251" t="s">
        <v>1507</v>
      </c>
      <c r="E368" s="251"/>
      <c r="F368" s="251"/>
      <c r="G368" s="251"/>
      <c r="H368" s="251"/>
      <c r="I368" s="251"/>
      <c r="J368" s="251"/>
      <c r="K368" s="251"/>
      <c r="L368" s="251"/>
      <c r="M368" s="251"/>
      <c r="N368" s="251"/>
      <c r="O368" s="251"/>
      <c r="P368" s="130"/>
    </row>
    <row r="369" spans="1:64">
      <c r="A369" s="130"/>
      <c r="D369" s="157" t="s">
        <v>1506</v>
      </c>
      <c r="I369" s="156"/>
      <c r="K369" s="155">
        <v>31.2</v>
      </c>
      <c r="O369" s="154"/>
      <c r="P369" s="130"/>
    </row>
    <row r="370" spans="1:64">
      <c r="A370" s="142" t="s">
        <v>164</v>
      </c>
      <c r="B370" s="141" t="s">
        <v>1339</v>
      </c>
      <c r="C370" s="141" t="s">
        <v>1505</v>
      </c>
      <c r="D370" s="243" t="s">
        <v>1504</v>
      </c>
      <c r="E370" s="243"/>
      <c r="F370" s="243"/>
      <c r="G370" s="243"/>
      <c r="H370" s="243"/>
      <c r="I370" s="243"/>
      <c r="J370" s="141" t="s">
        <v>691</v>
      </c>
      <c r="K370" s="137">
        <v>11.68</v>
      </c>
      <c r="L370" s="203">
        <v>0</v>
      </c>
      <c r="M370" s="137">
        <f>K370*L370</f>
        <v>0</v>
      </c>
      <c r="N370" s="137">
        <v>0</v>
      </c>
      <c r="O370" s="140" t="s">
        <v>1340</v>
      </c>
      <c r="P370" s="130"/>
      <c r="Z370" s="137">
        <f>IF(AQ370="5",BJ370,0)</f>
        <v>0</v>
      </c>
      <c r="AB370" s="137">
        <f>IF(AQ370="1",BH370,0)</f>
        <v>0</v>
      </c>
      <c r="AC370" s="137">
        <f>IF(AQ370="1",BI370,0)</f>
        <v>0</v>
      </c>
      <c r="AD370" s="137">
        <f>IF(AQ370="7",BH370,0)</f>
        <v>0</v>
      </c>
      <c r="AE370" s="137">
        <f>IF(AQ370="7",BI370,0)</f>
        <v>0</v>
      </c>
      <c r="AF370" s="137">
        <f>IF(AQ370="2",BH370,0)</f>
        <v>0</v>
      </c>
      <c r="AG370" s="137">
        <f>IF(AQ370="2",BI370,0)</f>
        <v>0</v>
      </c>
      <c r="AH370" s="137">
        <f>IF(AQ370="0",BJ370,0)</f>
        <v>0</v>
      </c>
      <c r="AI370" s="138" t="s">
        <v>1339</v>
      </c>
      <c r="AJ370" s="137">
        <f>IF(AN370=0,M370,0)</f>
        <v>0</v>
      </c>
      <c r="AK370" s="137">
        <f>IF(AN370=15,M370,0)</f>
        <v>0</v>
      </c>
      <c r="AL370" s="137">
        <f>IF(AN370=21,M370,0)</f>
        <v>0</v>
      </c>
      <c r="AN370" s="137">
        <v>21</v>
      </c>
      <c r="AO370" s="137">
        <f>L370*0</f>
        <v>0</v>
      </c>
      <c r="AP370" s="137">
        <f>L370*(1-0)</f>
        <v>0</v>
      </c>
      <c r="AQ370" s="139" t="s">
        <v>352</v>
      </c>
      <c r="AV370" s="137">
        <f>AW370+AX370</f>
        <v>0</v>
      </c>
      <c r="AW370" s="137">
        <f>K370*AO370</f>
        <v>0</v>
      </c>
      <c r="AX370" s="137">
        <f>K370*AP370</f>
        <v>0</v>
      </c>
      <c r="AY370" s="139" t="s">
        <v>1494</v>
      </c>
      <c r="AZ370" s="139" t="s">
        <v>1493</v>
      </c>
      <c r="BA370" s="138" t="s">
        <v>1336</v>
      </c>
      <c r="BC370" s="137">
        <f>AW370+AX370</f>
        <v>0</v>
      </c>
      <c r="BD370" s="137">
        <f>L370/(100-BE370)*100</f>
        <v>0</v>
      </c>
      <c r="BE370" s="137">
        <v>0</v>
      </c>
      <c r="BF370" s="137">
        <f>370</f>
        <v>370</v>
      </c>
      <c r="BH370" s="137">
        <f>K370*AO370</f>
        <v>0</v>
      </c>
      <c r="BI370" s="137">
        <f>K370*AP370</f>
        <v>0</v>
      </c>
      <c r="BJ370" s="137">
        <f>K370*L370</f>
        <v>0</v>
      </c>
      <c r="BK370" s="137" t="s">
        <v>442</v>
      </c>
      <c r="BL370" s="137">
        <v>776</v>
      </c>
    </row>
    <row r="371" spans="1:64">
      <c r="A371" s="130"/>
      <c r="D371" s="157" t="s">
        <v>1501</v>
      </c>
      <c r="I371" s="156"/>
      <c r="K371" s="155">
        <v>11.68</v>
      </c>
      <c r="O371" s="154"/>
      <c r="P371" s="130"/>
    </row>
    <row r="372" spans="1:64">
      <c r="A372" s="142" t="s">
        <v>777</v>
      </c>
      <c r="B372" s="141" t="s">
        <v>1339</v>
      </c>
      <c r="C372" s="141" t="s">
        <v>1503</v>
      </c>
      <c r="D372" s="243" t="s">
        <v>1502</v>
      </c>
      <c r="E372" s="243"/>
      <c r="F372" s="243"/>
      <c r="G372" s="243"/>
      <c r="H372" s="243"/>
      <c r="I372" s="243"/>
      <c r="J372" s="141" t="s">
        <v>691</v>
      </c>
      <c r="K372" s="137">
        <v>11.68</v>
      </c>
      <c r="L372" s="203">
        <v>0</v>
      </c>
      <c r="M372" s="137">
        <f>K372*L372</f>
        <v>0</v>
      </c>
      <c r="N372" s="137">
        <v>0</v>
      </c>
      <c r="O372" s="140" t="s">
        <v>1340</v>
      </c>
      <c r="P372" s="130"/>
      <c r="Z372" s="137">
        <f>IF(AQ372="5",BJ372,0)</f>
        <v>0</v>
      </c>
      <c r="AB372" s="137">
        <f>IF(AQ372="1",BH372,0)</f>
        <v>0</v>
      </c>
      <c r="AC372" s="137">
        <f>IF(AQ372="1",BI372,0)</f>
        <v>0</v>
      </c>
      <c r="AD372" s="137">
        <f>IF(AQ372="7",BH372,0)</f>
        <v>0</v>
      </c>
      <c r="AE372" s="137">
        <f>IF(AQ372="7",BI372,0)</f>
        <v>0</v>
      </c>
      <c r="AF372" s="137">
        <f>IF(AQ372="2",BH372,0)</f>
        <v>0</v>
      </c>
      <c r="AG372" s="137">
        <f>IF(AQ372="2",BI372,0)</f>
        <v>0</v>
      </c>
      <c r="AH372" s="137">
        <f>IF(AQ372="0",BJ372,0)</f>
        <v>0</v>
      </c>
      <c r="AI372" s="138" t="s">
        <v>1339</v>
      </c>
      <c r="AJ372" s="137">
        <f>IF(AN372=0,M372,0)</f>
        <v>0</v>
      </c>
      <c r="AK372" s="137">
        <f>IF(AN372=15,M372,0)</f>
        <v>0</v>
      </c>
      <c r="AL372" s="137">
        <f>IF(AN372=21,M372,0)</f>
        <v>0</v>
      </c>
      <c r="AN372" s="137">
        <v>21</v>
      </c>
      <c r="AO372" s="137">
        <f>L372*0</f>
        <v>0</v>
      </c>
      <c r="AP372" s="137">
        <f>L372*(1-0)</f>
        <v>0</v>
      </c>
      <c r="AQ372" s="139" t="s">
        <v>352</v>
      </c>
      <c r="AV372" s="137">
        <f>AW372+AX372</f>
        <v>0</v>
      </c>
      <c r="AW372" s="137">
        <f>K372*AO372</f>
        <v>0</v>
      </c>
      <c r="AX372" s="137">
        <f>K372*AP372</f>
        <v>0</v>
      </c>
      <c r="AY372" s="139" t="s">
        <v>1494</v>
      </c>
      <c r="AZ372" s="139" t="s">
        <v>1493</v>
      </c>
      <c r="BA372" s="138" t="s">
        <v>1336</v>
      </c>
      <c r="BC372" s="137">
        <f>AW372+AX372</f>
        <v>0</v>
      </c>
      <c r="BD372" s="137">
        <f>L372/(100-BE372)*100</f>
        <v>0</v>
      </c>
      <c r="BE372" s="137">
        <v>0</v>
      </c>
      <c r="BF372" s="137">
        <f>372</f>
        <v>372</v>
      </c>
      <c r="BH372" s="137">
        <f>K372*AO372</f>
        <v>0</v>
      </c>
      <c r="BI372" s="137">
        <f>K372*AP372</f>
        <v>0</v>
      </c>
      <c r="BJ372" s="137">
        <f>K372*L372</f>
        <v>0</v>
      </c>
      <c r="BK372" s="137" t="s">
        <v>442</v>
      </c>
      <c r="BL372" s="137">
        <v>776</v>
      </c>
    </row>
    <row r="373" spans="1:64">
      <c r="A373" s="130"/>
      <c r="D373" s="157" t="s">
        <v>1501</v>
      </c>
      <c r="I373" s="156"/>
      <c r="K373" s="155">
        <v>11.68</v>
      </c>
      <c r="O373" s="154"/>
      <c r="P373" s="130"/>
    </row>
    <row r="374" spans="1:64">
      <c r="A374" s="142" t="s">
        <v>160</v>
      </c>
      <c r="B374" s="141" t="s">
        <v>1339</v>
      </c>
      <c r="C374" s="141" t="s">
        <v>1500</v>
      </c>
      <c r="D374" s="243" t="s">
        <v>1499</v>
      </c>
      <c r="E374" s="243"/>
      <c r="F374" s="243"/>
      <c r="G374" s="243"/>
      <c r="H374" s="243"/>
      <c r="I374" s="243"/>
      <c r="J374" s="141" t="s">
        <v>21</v>
      </c>
      <c r="K374" s="137">
        <v>49.6</v>
      </c>
      <c r="L374" s="203">
        <v>0</v>
      </c>
      <c r="M374" s="137">
        <f>K374*L374</f>
        <v>0</v>
      </c>
      <c r="N374" s="137">
        <v>4.0000000000000003E-5</v>
      </c>
      <c r="O374" s="140" t="s">
        <v>1340</v>
      </c>
      <c r="P374" s="130"/>
      <c r="Z374" s="137">
        <f>IF(AQ374="5",BJ374,0)</f>
        <v>0</v>
      </c>
      <c r="AB374" s="137">
        <f>IF(AQ374="1",BH374,0)</f>
        <v>0</v>
      </c>
      <c r="AC374" s="137">
        <f>IF(AQ374="1",BI374,0)</f>
        <v>0</v>
      </c>
      <c r="AD374" s="137">
        <f>IF(AQ374="7",BH374,0)</f>
        <v>0</v>
      </c>
      <c r="AE374" s="137">
        <f>IF(AQ374="7",BI374,0)</f>
        <v>0</v>
      </c>
      <c r="AF374" s="137">
        <f>IF(AQ374="2",BH374,0)</f>
        <v>0</v>
      </c>
      <c r="AG374" s="137">
        <f>IF(AQ374="2",BI374,0)</f>
        <v>0</v>
      </c>
      <c r="AH374" s="137">
        <f>IF(AQ374="0",BJ374,0)</f>
        <v>0</v>
      </c>
      <c r="AI374" s="138" t="s">
        <v>1339</v>
      </c>
      <c r="AJ374" s="137">
        <f>IF(AN374=0,M374,0)</f>
        <v>0</v>
      </c>
      <c r="AK374" s="137">
        <f>IF(AN374=15,M374,0)</f>
        <v>0</v>
      </c>
      <c r="AL374" s="137">
        <f>IF(AN374=21,M374,0)</f>
        <v>0</v>
      </c>
      <c r="AN374" s="137">
        <v>21</v>
      </c>
      <c r="AO374" s="137">
        <f>L374*0.220341900220956</f>
        <v>0</v>
      </c>
      <c r="AP374" s="137">
        <f>L374*(1-0.220341900220956)</f>
        <v>0</v>
      </c>
      <c r="AQ374" s="139" t="s">
        <v>352</v>
      </c>
      <c r="AV374" s="137">
        <f>AW374+AX374</f>
        <v>0</v>
      </c>
      <c r="AW374" s="137">
        <f>K374*AO374</f>
        <v>0</v>
      </c>
      <c r="AX374" s="137">
        <f>K374*AP374</f>
        <v>0</v>
      </c>
      <c r="AY374" s="139" t="s">
        <v>1494</v>
      </c>
      <c r="AZ374" s="139" t="s">
        <v>1493</v>
      </c>
      <c r="BA374" s="138" t="s">
        <v>1336</v>
      </c>
      <c r="BC374" s="137">
        <f>AW374+AX374</f>
        <v>0</v>
      </c>
      <c r="BD374" s="137">
        <f>L374/(100-BE374)*100</f>
        <v>0</v>
      </c>
      <c r="BE374" s="137">
        <v>0</v>
      </c>
      <c r="BF374" s="137">
        <f>374</f>
        <v>374</v>
      </c>
      <c r="BH374" s="137">
        <f>K374*AO374</f>
        <v>0</v>
      </c>
      <c r="BI374" s="137">
        <f>K374*AP374</f>
        <v>0</v>
      </c>
      <c r="BJ374" s="137">
        <f>K374*L374</f>
        <v>0</v>
      </c>
      <c r="BK374" s="137" t="s">
        <v>442</v>
      </c>
      <c r="BL374" s="137">
        <v>776</v>
      </c>
    </row>
    <row r="375" spans="1:64" ht="14.65" customHeight="1">
      <c r="A375" s="130"/>
      <c r="D375" s="251" t="s">
        <v>1498</v>
      </c>
      <c r="E375" s="251"/>
      <c r="F375" s="251"/>
      <c r="G375" s="251"/>
      <c r="H375" s="251"/>
      <c r="I375" s="251"/>
      <c r="J375" s="251"/>
      <c r="K375" s="251"/>
      <c r="L375" s="251"/>
      <c r="M375" s="251"/>
      <c r="N375" s="251"/>
      <c r="O375" s="251"/>
      <c r="P375" s="130"/>
    </row>
    <row r="376" spans="1:64">
      <c r="A376" s="130"/>
      <c r="D376" s="157" t="s">
        <v>1497</v>
      </c>
      <c r="I376" s="156"/>
      <c r="K376" s="155">
        <v>49.6</v>
      </c>
      <c r="O376" s="154"/>
      <c r="P376" s="130"/>
    </row>
    <row r="377" spans="1:64">
      <c r="A377" s="142" t="s">
        <v>768</v>
      </c>
      <c r="B377" s="141" t="s">
        <v>1339</v>
      </c>
      <c r="C377" s="141" t="s">
        <v>1496</v>
      </c>
      <c r="D377" s="243" t="s">
        <v>1495</v>
      </c>
      <c r="E377" s="243"/>
      <c r="F377" s="243"/>
      <c r="G377" s="243"/>
      <c r="H377" s="243"/>
      <c r="I377" s="243"/>
      <c r="J377" s="141" t="s">
        <v>735</v>
      </c>
      <c r="K377" s="137">
        <v>5.0189999999999999E-2</v>
      </c>
      <c r="L377" s="203">
        <v>0</v>
      </c>
      <c r="M377" s="137">
        <f>K377*L377</f>
        <v>0</v>
      </c>
      <c r="N377" s="137">
        <v>0</v>
      </c>
      <c r="O377" s="140" t="s">
        <v>1340</v>
      </c>
      <c r="P377" s="130"/>
      <c r="Z377" s="137">
        <f>IF(AQ377="5",BJ377,0)</f>
        <v>0</v>
      </c>
      <c r="AB377" s="137">
        <f>IF(AQ377="1",BH377,0)</f>
        <v>0</v>
      </c>
      <c r="AC377" s="137">
        <f>IF(AQ377="1",BI377,0)</f>
        <v>0</v>
      </c>
      <c r="AD377" s="137">
        <f>IF(AQ377="7",BH377,0)</f>
        <v>0</v>
      </c>
      <c r="AE377" s="137">
        <f>IF(AQ377="7",BI377,0)</f>
        <v>0</v>
      </c>
      <c r="AF377" s="137">
        <f>IF(AQ377="2",BH377,0)</f>
        <v>0</v>
      </c>
      <c r="AG377" s="137">
        <f>IF(AQ377="2",BI377,0)</f>
        <v>0</v>
      </c>
      <c r="AH377" s="137">
        <f>IF(AQ377="0",BJ377,0)</f>
        <v>0</v>
      </c>
      <c r="AI377" s="138" t="s">
        <v>1339</v>
      </c>
      <c r="AJ377" s="137">
        <f>IF(AN377=0,M377,0)</f>
        <v>0</v>
      </c>
      <c r="AK377" s="137">
        <f>IF(AN377=15,M377,0)</f>
        <v>0</v>
      </c>
      <c r="AL377" s="137">
        <f>IF(AN377=21,M377,0)</f>
        <v>0</v>
      </c>
      <c r="AN377" s="137">
        <v>21</v>
      </c>
      <c r="AO377" s="137">
        <f>L377*0</f>
        <v>0</v>
      </c>
      <c r="AP377" s="137">
        <f>L377*(1-0)</f>
        <v>0</v>
      </c>
      <c r="AQ377" s="139" t="s">
        <v>357</v>
      </c>
      <c r="AV377" s="137">
        <f>AW377+AX377</f>
        <v>0</v>
      </c>
      <c r="AW377" s="137">
        <f>K377*AO377</f>
        <v>0</v>
      </c>
      <c r="AX377" s="137">
        <f>K377*AP377</f>
        <v>0</v>
      </c>
      <c r="AY377" s="139" t="s">
        <v>1494</v>
      </c>
      <c r="AZ377" s="139" t="s">
        <v>1493</v>
      </c>
      <c r="BA377" s="138" t="s">
        <v>1336</v>
      </c>
      <c r="BC377" s="137">
        <f>AW377+AX377</f>
        <v>0</v>
      </c>
      <c r="BD377" s="137">
        <f>L377/(100-BE377)*100</f>
        <v>0</v>
      </c>
      <c r="BE377" s="137">
        <v>0</v>
      </c>
      <c r="BF377" s="137">
        <f>377</f>
        <v>377</v>
      </c>
      <c r="BH377" s="137">
        <f>K377*AO377</f>
        <v>0</v>
      </c>
      <c r="BI377" s="137">
        <f>K377*AP377</f>
        <v>0</v>
      </c>
      <c r="BJ377" s="137">
        <f>K377*L377</f>
        <v>0</v>
      </c>
      <c r="BK377" s="137" t="s">
        <v>442</v>
      </c>
      <c r="BL377" s="137">
        <v>776</v>
      </c>
    </row>
    <row r="378" spans="1:64">
      <c r="A378" s="147"/>
      <c r="B378" s="146" t="s">
        <v>1339</v>
      </c>
      <c r="C378" s="146" t="s">
        <v>712</v>
      </c>
      <c r="D378" s="252" t="s">
        <v>1492</v>
      </c>
      <c r="E378" s="252"/>
      <c r="F378" s="252"/>
      <c r="G378" s="252"/>
      <c r="H378" s="252"/>
      <c r="I378" s="252"/>
      <c r="J378" s="145" t="s">
        <v>1305</v>
      </c>
      <c r="K378" s="145" t="s">
        <v>1305</v>
      </c>
      <c r="L378" s="145" t="s">
        <v>1305</v>
      </c>
      <c r="M378" s="143">
        <f>SUM(M379:M405)</f>
        <v>0</v>
      </c>
      <c r="N378" s="138"/>
      <c r="O378" s="144"/>
      <c r="P378" s="130"/>
      <c r="AI378" s="138" t="s">
        <v>1339</v>
      </c>
      <c r="AS378" s="143">
        <f>SUM(AJ379:AJ405)</f>
        <v>0</v>
      </c>
      <c r="AT378" s="143">
        <f>SUM(AK379:AK405)</f>
        <v>0</v>
      </c>
      <c r="AU378" s="143">
        <f>SUM(AL379:AL405)</f>
        <v>0</v>
      </c>
    </row>
    <row r="379" spans="1:64">
      <c r="A379" s="142" t="s">
        <v>156</v>
      </c>
      <c r="B379" s="141" t="s">
        <v>1339</v>
      </c>
      <c r="C379" s="141" t="s">
        <v>1491</v>
      </c>
      <c r="D379" s="243" t="s">
        <v>1490</v>
      </c>
      <c r="E379" s="243"/>
      <c r="F379" s="243"/>
      <c r="G379" s="243"/>
      <c r="H379" s="243"/>
      <c r="I379" s="243"/>
      <c r="J379" s="141" t="s">
        <v>691</v>
      </c>
      <c r="K379" s="137">
        <v>6.8132999999999999</v>
      </c>
      <c r="L379" s="203">
        <v>0</v>
      </c>
      <c r="M379" s="137">
        <f>K379*L379</f>
        <v>0</v>
      </c>
      <c r="N379" s="137">
        <v>1.2600000000000001E-3</v>
      </c>
      <c r="O379" s="140" t="s">
        <v>1340</v>
      </c>
      <c r="P379" s="130"/>
      <c r="Z379" s="137">
        <f>IF(AQ379="5",BJ379,0)</f>
        <v>0</v>
      </c>
      <c r="AB379" s="137">
        <f>IF(AQ379="1",BH379,0)</f>
        <v>0</v>
      </c>
      <c r="AC379" s="137">
        <f>IF(AQ379="1",BI379,0)</f>
        <v>0</v>
      </c>
      <c r="AD379" s="137">
        <f>IF(AQ379="7",BH379,0)</f>
        <v>0</v>
      </c>
      <c r="AE379" s="137">
        <f>IF(AQ379="7",BI379,0)</f>
        <v>0</v>
      </c>
      <c r="AF379" s="137">
        <f>IF(AQ379="2",BH379,0)</f>
        <v>0</v>
      </c>
      <c r="AG379" s="137">
        <f>IF(AQ379="2",BI379,0)</f>
        <v>0</v>
      </c>
      <c r="AH379" s="137">
        <f>IF(AQ379="0",BJ379,0)</f>
        <v>0</v>
      </c>
      <c r="AI379" s="138" t="s">
        <v>1339</v>
      </c>
      <c r="AJ379" s="137">
        <f>IF(AN379=0,M379,0)</f>
        <v>0</v>
      </c>
      <c r="AK379" s="137">
        <f>IF(AN379=15,M379,0)</f>
        <v>0</v>
      </c>
      <c r="AL379" s="137">
        <f>IF(AN379=21,M379,0)</f>
        <v>0</v>
      </c>
      <c r="AN379" s="137">
        <v>21</v>
      </c>
      <c r="AO379" s="137">
        <f>L379*0.400464756857165</f>
        <v>0</v>
      </c>
      <c r="AP379" s="137">
        <f>L379*(1-0.400464756857165)</f>
        <v>0</v>
      </c>
      <c r="AQ379" s="139" t="s">
        <v>352</v>
      </c>
      <c r="AV379" s="137">
        <f>AW379+AX379</f>
        <v>0</v>
      </c>
      <c r="AW379" s="137">
        <f>K379*AO379</f>
        <v>0</v>
      </c>
      <c r="AX379" s="137">
        <f>K379*AP379</f>
        <v>0</v>
      </c>
      <c r="AY379" s="139" t="s">
        <v>1472</v>
      </c>
      <c r="AZ379" s="139" t="s">
        <v>1460</v>
      </c>
      <c r="BA379" s="138" t="s">
        <v>1336</v>
      </c>
      <c r="BC379" s="137">
        <f>AW379+AX379</f>
        <v>0</v>
      </c>
      <c r="BD379" s="137">
        <f>L379/(100-BE379)*100</f>
        <v>0</v>
      </c>
      <c r="BE379" s="137">
        <v>0</v>
      </c>
      <c r="BF379" s="137">
        <f>379</f>
        <v>379</v>
      </c>
      <c r="BH379" s="137">
        <f>K379*AO379</f>
        <v>0</v>
      </c>
      <c r="BI379" s="137">
        <f>K379*AP379</f>
        <v>0</v>
      </c>
      <c r="BJ379" s="137">
        <f>K379*L379</f>
        <v>0</v>
      </c>
      <c r="BK379" s="137" t="s">
        <v>442</v>
      </c>
      <c r="BL379" s="137">
        <v>783</v>
      </c>
    </row>
    <row r="380" spans="1:64">
      <c r="A380" s="130"/>
      <c r="D380" s="157" t="s">
        <v>1482</v>
      </c>
      <c r="I380" s="156"/>
      <c r="K380" s="155">
        <v>3.3793000000000002</v>
      </c>
      <c r="O380" s="154"/>
      <c r="P380" s="130"/>
    </row>
    <row r="381" spans="1:64">
      <c r="A381" s="130"/>
      <c r="D381" s="157" t="s">
        <v>1481</v>
      </c>
      <c r="I381" s="156"/>
      <c r="K381" s="155">
        <v>0.66</v>
      </c>
      <c r="O381" s="154"/>
      <c r="P381" s="130"/>
    </row>
    <row r="382" spans="1:64">
      <c r="A382" s="130"/>
      <c r="D382" s="157" t="s">
        <v>1480</v>
      </c>
      <c r="I382" s="156"/>
      <c r="K382" s="155">
        <v>2.774</v>
      </c>
      <c r="O382" s="154"/>
      <c r="P382" s="130"/>
    </row>
    <row r="383" spans="1:64">
      <c r="A383" s="142" t="s">
        <v>1294</v>
      </c>
      <c r="B383" s="141" t="s">
        <v>1339</v>
      </c>
      <c r="C383" s="141" t="s">
        <v>1489</v>
      </c>
      <c r="D383" s="243" t="s">
        <v>1488</v>
      </c>
      <c r="E383" s="243"/>
      <c r="F383" s="243"/>
      <c r="G383" s="243"/>
      <c r="H383" s="243"/>
      <c r="I383" s="243"/>
      <c r="J383" s="141" t="s">
        <v>691</v>
      </c>
      <c r="K383" s="137">
        <v>34.50506</v>
      </c>
      <c r="L383" s="203">
        <v>0</v>
      </c>
      <c r="M383" s="137">
        <f>K383*L383</f>
        <v>0</v>
      </c>
      <c r="N383" s="137">
        <v>4.0999999999999999E-4</v>
      </c>
      <c r="O383" s="140" t="s">
        <v>1340</v>
      </c>
      <c r="P383" s="130"/>
      <c r="Z383" s="137">
        <f>IF(AQ383="5",BJ383,0)</f>
        <v>0</v>
      </c>
      <c r="AB383" s="137">
        <f>IF(AQ383="1",BH383,0)</f>
        <v>0</v>
      </c>
      <c r="AC383" s="137">
        <f>IF(AQ383="1",BI383,0)</f>
        <v>0</v>
      </c>
      <c r="AD383" s="137">
        <f>IF(AQ383="7",BH383,0)</f>
        <v>0</v>
      </c>
      <c r="AE383" s="137">
        <f>IF(AQ383="7",BI383,0)</f>
        <v>0</v>
      </c>
      <c r="AF383" s="137">
        <f>IF(AQ383="2",BH383,0)</f>
        <v>0</v>
      </c>
      <c r="AG383" s="137">
        <f>IF(AQ383="2",BI383,0)</f>
        <v>0</v>
      </c>
      <c r="AH383" s="137">
        <f>IF(AQ383="0",BJ383,0)</f>
        <v>0</v>
      </c>
      <c r="AI383" s="138" t="s">
        <v>1339</v>
      </c>
      <c r="AJ383" s="137">
        <f>IF(AN383=0,M383,0)</f>
        <v>0</v>
      </c>
      <c r="AK383" s="137">
        <f>IF(AN383=15,M383,0)</f>
        <v>0</v>
      </c>
      <c r="AL383" s="137">
        <f>IF(AN383=21,M383,0)</f>
        <v>0</v>
      </c>
      <c r="AN383" s="137">
        <v>21</v>
      </c>
      <c r="AO383" s="137">
        <f>L383*0.272996357037248</f>
        <v>0</v>
      </c>
      <c r="AP383" s="137">
        <f>L383*(1-0.272996357037248)</f>
        <v>0</v>
      </c>
      <c r="AQ383" s="139" t="s">
        <v>352</v>
      </c>
      <c r="AV383" s="137">
        <f>AW383+AX383</f>
        <v>0</v>
      </c>
      <c r="AW383" s="137">
        <f>K383*AO383</f>
        <v>0</v>
      </c>
      <c r="AX383" s="137">
        <f>K383*AP383</f>
        <v>0</v>
      </c>
      <c r="AY383" s="139" t="s">
        <v>1472</v>
      </c>
      <c r="AZ383" s="139" t="s">
        <v>1460</v>
      </c>
      <c r="BA383" s="138" t="s">
        <v>1336</v>
      </c>
      <c r="BC383" s="137">
        <f>AW383+AX383</f>
        <v>0</v>
      </c>
      <c r="BD383" s="137">
        <f>L383/(100-BE383)*100</f>
        <v>0</v>
      </c>
      <c r="BE383" s="137">
        <v>0</v>
      </c>
      <c r="BF383" s="137">
        <f>383</f>
        <v>383</v>
      </c>
      <c r="BH383" s="137">
        <f>K383*AO383</f>
        <v>0</v>
      </c>
      <c r="BI383" s="137">
        <f>K383*AP383</f>
        <v>0</v>
      </c>
      <c r="BJ383" s="137">
        <f>K383*L383</f>
        <v>0</v>
      </c>
      <c r="BK383" s="137" t="s">
        <v>442</v>
      </c>
      <c r="BL383" s="137">
        <v>783</v>
      </c>
    </row>
    <row r="384" spans="1:64" ht="14.65" customHeight="1">
      <c r="A384" s="130"/>
      <c r="D384" s="251" t="s">
        <v>1487</v>
      </c>
      <c r="E384" s="251"/>
      <c r="F384" s="251"/>
      <c r="G384" s="251"/>
      <c r="H384" s="251"/>
      <c r="I384" s="251"/>
      <c r="J384" s="251"/>
      <c r="K384" s="251"/>
      <c r="L384" s="251"/>
      <c r="M384" s="251"/>
      <c r="N384" s="251"/>
      <c r="O384" s="251"/>
      <c r="P384" s="130"/>
    </row>
    <row r="385" spans="1:64">
      <c r="A385" s="130"/>
      <c r="D385" s="157" t="s">
        <v>1482</v>
      </c>
      <c r="I385" s="156"/>
      <c r="K385" s="155">
        <v>3.3793000000000002</v>
      </c>
      <c r="O385" s="154"/>
      <c r="P385" s="130"/>
    </row>
    <row r="386" spans="1:64">
      <c r="A386" s="130"/>
      <c r="D386" s="157" t="s">
        <v>1481</v>
      </c>
      <c r="I386" s="156"/>
      <c r="K386" s="155">
        <v>0.66</v>
      </c>
      <c r="O386" s="154"/>
      <c r="P386" s="130"/>
    </row>
    <row r="387" spans="1:64">
      <c r="A387" s="130"/>
      <c r="D387" s="157" t="s">
        <v>1480</v>
      </c>
      <c r="I387" s="156"/>
      <c r="K387" s="155">
        <v>2.774</v>
      </c>
      <c r="O387" s="154"/>
      <c r="P387" s="130"/>
    </row>
    <row r="388" spans="1:64">
      <c r="A388" s="130"/>
      <c r="D388" s="157" t="s">
        <v>1479</v>
      </c>
      <c r="I388" s="156"/>
      <c r="K388" s="155">
        <v>2.97</v>
      </c>
      <c r="O388" s="154"/>
      <c r="P388" s="130"/>
    </row>
    <row r="389" spans="1:64">
      <c r="A389" s="130"/>
      <c r="D389" s="157" t="s">
        <v>1478</v>
      </c>
      <c r="I389" s="156"/>
      <c r="K389" s="155">
        <v>24.72176</v>
      </c>
      <c r="O389" s="154"/>
      <c r="P389" s="130"/>
    </row>
    <row r="390" spans="1:64">
      <c r="A390" s="142" t="s">
        <v>152</v>
      </c>
      <c r="B390" s="141" t="s">
        <v>1339</v>
      </c>
      <c r="C390" s="141" t="s">
        <v>1486</v>
      </c>
      <c r="D390" s="243" t="s">
        <v>1485</v>
      </c>
      <c r="E390" s="243"/>
      <c r="F390" s="243"/>
      <c r="G390" s="243"/>
      <c r="H390" s="243"/>
      <c r="I390" s="243"/>
      <c r="J390" s="141" t="s">
        <v>691</v>
      </c>
      <c r="K390" s="137">
        <v>34.50506</v>
      </c>
      <c r="L390" s="203"/>
      <c r="M390" s="137">
        <f>K390*L390</f>
        <v>0</v>
      </c>
      <c r="N390" s="137">
        <v>6.9999999999999994E-5</v>
      </c>
      <c r="O390" s="140" t="s">
        <v>1340</v>
      </c>
      <c r="P390" s="130"/>
      <c r="Z390" s="137">
        <f>IF(AQ390="5",BJ390,0)</f>
        <v>0</v>
      </c>
      <c r="AB390" s="137">
        <f>IF(AQ390="1",BH390,0)</f>
        <v>0</v>
      </c>
      <c r="AC390" s="137">
        <f>IF(AQ390="1",BI390,0)</f>
        <v>0</v>
      </c>
      <c r="AD390" s="137">
        <f>IF(AQ390="7",BH390,0)</f>
        <v>0</v>
      </c>
      <c r="AE390" s="137">
        <f>IF(AQ390="7",BI390,0)</f>
        <v>0</v>
      </c>
      <c r="AF390" s="137">
        <f>IF(AQ390="2",BH390,0)</f>
        <v>0</v>
      </c>
      <c r="AG390" s="137">
        <f>IF(AQ390="2",BI390,0)</f>
        <v>0</v>
      </c>
      <c r="AH390" s="137">
        <f>IF(AQ390="0",BJ390,0)</f>
        <v>0</v>
      </c>
      <c r="AI390" s="138" t="s">
        <v>1339</v>
      </c>
      <c r="AJ390" s="137">
        <f>IF(AN390=0,M390,0)</f>
        <v>0</v>
      </c>
      <c r="AK390" s="137">
        <f>IF(AN390=15,M390,0)</f>
        <v>0</v>
      </c>
      <c r="AL390" s="137">
        <f>IF(AN390=21,M390,0)</f>
        <v>0</v>
      </c>
      <c r="AN390" s="137">
        <v>21</v>
      </c>
      <c r="AO390" s="137">
        <f>L390*0.0874417178443372</f>
        <v>0</v>
      </c>
      <c r="AP390" s="137">
        <f>L390*(1-0.0874417178443372)</f>
        <v>0</v>
      </c>
      <c r="AQ390" s="139" t="s">
        <v>352</v>
      </c>
      <c r="AV390" s="137">
        <f>AW390+AX390</f>
        <v>0</v>
      </c>
      <c r="AW390" s="137">
        <f>K390*AO390</f>
        <v>0</v>
      </c>
      <c r="AX390" s="137">
        <f>K390*AP390</f>
        <v>0</v>
      </c>
      <c r="AY390" s="139" t="s">
        <v>1472</v>
      </c>
      <c r="AZ390" s="139" t="s">
        <v>1460</v>
      </c>
      <c r="BA390" s="138" t="s">
        <v>1336</v>
      </c>
      <c r="BC390" s="137">
        <f>AW390+AX390</f>
        <v>0</v>
      </c>
      <c r="BD390" s="137">
        <f>L390/(100-BE390)*100</f>
        <v>0</v>
      </c>
      <c r="BE390" s="137">
        <v>0</v>
      </c>
      <c r="BF390" s="137">
        <f>390</f>
        <v>390</v>
      </c>
      <c r="BH390" s="137">
        <f>K390*AO390</f>
        <v>0</v>
      </c>
      <c r="BI390" s="137">
        <f>K390*AP390</f>
        <v>0</v>
      </c>
      <c r="BJ390" s="137">
        <f>K390*L390</f>
        <v>0</v>
      </c>
      <c r="BK390" s="137" t="s">
        <v>442</v>
      </c>
      <c r="BL390" s="137">
        <v>783</v>
      </c>
    </row>
    <row r="391" spans="1:64">
      <c r="A391" s="130"/>
      <c r="D391" s="157" t="s">
        <v>1482</v>
      </c>
      <c r="I391" s="156"/>
      <c r="K391" s="155">
        <v>3.3793000000000002</v>
      </c>
      <c r="O391" s="154"/>
      <c r="P391" s="130"/>
    </row>
    <row r="392" spans="1:64">
      <c r="A392" s="130"/>
      <c r="D392" s="157" t="s">
        <v>1481</v>
      </c>
      <c r="I392" s="156"/>
      <c r="K392" s="155">
        <v>0.66</v>
      </c>
      <c r="O392" s="154"/>
      <c r="P392" s="130"/>
    </row>
    <row r="393" spans="1:64">
      <c r="A393" s="130"/>
      <c r="D393" s="157" t="s">
        <v>1480</v>
      </c>
      <c r="I393" s="156"/>
      <c r="K393" s="155">
        <v>2.774</v>
      </c>
      <c r="O393" s="154"/>
      <c r="P393" s="130"/>
    </row>
    <row r="394" spans="1:64">
      <c r="A394" s="130"/>
      <c r="D394" s="157" t="s">
        <v>1479</v>
      </c>
      <c r="I394" s="156"/>
      <c r="K394" s="155">
        <v>2.97</v>
      </c>
      <c r="O394" s="154"/>
      <c r="P394" s="130"/>
    </row>
    <row r="395" spans="1:64">
      <c r="A395" s="130"/>
      <c r="D395" s="157" t="s">
        <v>1478</v>
      </c>
      <c r="I395" s="156"/>
      <c r="K395" s="155">
        <v>24.72176</v>
      </c>
      <c r="O395" s="154"/>
      <c r="P395" s="130"/>
    </row>
    <row r="396" spans="1:64">
      <c r="A396" s="142" t="s">
        <v>756</v>
      </c>
      <c r="B396" s="141" t="s">
        <v>1339</v>
      </c>
      <c r="C396" s="141" t="s">
        <v>1484</v>
      </c>
      <c r="D396" s="243" t="s">
        <v>1483</v>
      </c>
      <c r="E396" s="243"/>
      <c r="F396" s="243"/>
      <c r="G396" s="243"/>
      <c r="H396" s="243"/>
      <c r="I396" s="243"/>
      <c r="J396" s="141" t="s">
        <v>691</v>
      </c>
      <c r="K396" s="137">
        <v>34.50506</v>
      </c>
      <c r="L396" s="203">
        <v>0</v>
      </c>
      <c r="M396" s="137">
        <f>K396*L396</f>
        <v>0</v>
      </c>
      <c r="N396" s="137">
        <v>1.0000000000000001E-5</v>
      </c>
      <c r="O396" s="140" t="s">
        <v>1340</v>
      </c>
      <c r="P396" s="130"/>
      <c r="Z396" s="137">
        <f>IF(AQ396="5",BJ396,0)</f>
        <v>0</v>
      </c>
      <c r="AB396" s="137">
        <f>IF(AQ396="1",BH396,0)</f>
        <v>0</v>
      </c>
      <c r="AC396" s="137">
        <f>IF(AQ396="1",BI396,0)</f>
        <v>0</v>
      </c>
      <c r="AD396" s="137">
        <f>IF(AQ396="7",BH396,0)</f>
        <v>0</v>
      </c>
      <c r="AE396" s="137">
        <f>IF(AQ396="7",BI396,0)</f>
        <v>0</v>
      </c>
      <c r="AF396" s="137">
        <f>IF(AQ396="2",BH396,0)</f>
        <v>0</v>
      </c>
      <c r="AG396" s="137">
        <f>IF(AQ396="2",BI396,0)</f>
        <v>0</v>
      </c>
      <c r="AH396" s="137">
        <f>IF(AQ396="0",BJ396,0)</f>
        <v>0</v>
      </c>
      <c r="AI396" s="138" t="s">
        <v>1339</v>
      </c>
      <c r="AJ396" s="137">
        <f>IF(AN396=0,M396,0)</f>
        <v>0</v>
      </c>
      <c r="AK396" s="137">
        <f>IF(AN396=15,M396,0)</f>
        <v>0</v>
      </c>
      <c r="AL396" s="137">
        <f>IF(AN396=21,M396,0)</f>
        <v>0</v>
      </c>
      <c r="AN396" s="137">
        <v>21</v>
      </c>
      <c r="AO396" s="137">
        <f>L396*0.060204008280349</f>
        <v>0</v>
      </c>
      <c r="AP396" s="137">
        <f>L396*(1-0.060204008280349)</f>
        <v>0</v>
      </c>
      <c r="AQ396" s="139" t="s">
        <v>352</v>
      </c>
      <c r="AV396" s="137">
        <f>AW396+AX396</f>
        <v>0</v>
      </c>
      <c r="AW396" s="137">
        <f>K396*AO396</f>
        <v>0</v>
      </c>
      <c r="AX396" s="137">
        <f>K396*AP396</f>
        <v>0</v>
      </c>
      <c r="AY396" s="139" t="s">
        <v>1472</v>
      </c>
      <c r="AZ396" s="139" t="s">
        <v>1460</v>
      </c>
      <c r="BA396" s="138" t="s">
        <v>1336</v>
      </c>
      <c r="BC396" s="137">
        <f>AW396+AX396</f>
        <v>0</v>
      </c>
      <c r="BD396" s="137">
        <f>L396/(100-BE396)*100</f>
        <v>0</v>
      </c>
      <c r="BE396" s="137">
        <v>0</v>
      </c>
      <c r="BF396" s="137">
        <f>396</f>
        <v>396</v>
      </c>
      <c r="BH396" s="137">
        <f>K396*AO396</f>
        <v>0</v>
      </c>
      <c r="BI396" s="137">
        <f>K396*AP396</f>
        <v>0</v>
      </c>
      <c r="BJ396" s="137">
        <f>K396*L396</f>
        <v>0</v>
      </c>
      <c r="BK396" s="137" t="s">
        <v>442</v>
      </c>
      <c r="BL396" s="137">
        <v>783</v>
      </c>
    </row>
    <row r="397" spans="1:64">
      <c r="A397" s="130"/>
      <c r="D397" s="157" t="s">
        <v>1482</v>
      </c>
      <c r="I397" s="156"/>
      <c r="K397" s="155">
        <v>3.3793000000000002</v>
      </c>
      <c r="O397" s="154"/>
      <c r="P397" s="130"/>
    </row>
    <row r="398" spans="1:64">
      <c r="A398" s="130"/>
      <c r="D398" s="157" t="s">
        <v>1481</v>
      </c>
      <c r="I398" s="156"/>
      <c r="K398" s="155">
        <v>0.66</v>
      </c>
      <c r="O398" s="154"/>
      <c r="P398" s="130"/>
    </row>
    <row r="399" spans="1:64">
      <c r="A399" s="130"/>
      <c r="D399" s="157" t="s">
        <v>1480</v>
      </c>
      <c r="I399" s="156"/>
      <c r="K399" s="155">
        <v>2.774</v>
      </c>
      <c r="O399" s="154"/>
      <c r="P399" s="130"/>
    </row>
    <row r="400" spans="1:64">
      <c r="A400" s="130"/>
      <c r="D400" s="157" t="s">
        <v>1479</v>
      </c>
      <c r="I400" s="156"/>
      <c r="K400" s="155">
        <v>2.97</v>
      </c>
      <c r="O400" s="154"/>
      <c r="P400" s="130"/>
    </row>
    <row r="401" spans="1:64">
      <c r="A401" s="130"/>
      <c r="D401" s="157" t="s">
        <v>1478</v>
      </c>
      <c r="I401" s="156"/>
      <c r="K401" s="155">
        <v>24.72176</v>
      </c>
      <c r="O401" s="154"/>
      <c r="P401" s="130"/>
    </row>
    <row r="402" spans="1:64">
      <c r="A402" s="142" t="s">
        <v>148</v>
      </c>
      <c r="B402" s="141" t="s">
        <v>1339</v>
      </c>
      <c r="C402" s="141" t="s">
        <v>1477</v>
      </c>
      <c r="D402" s="243" t="s">
        <v>1476</v>
      </c>
      <c r="E402" s="243"/>
      <c r="F402" s="243"/>
      <c r="G402" s="243"/>
      <c r="H402" s="243"/>
      <c r="I402" s="243"/>
      <c r="J402" s="141" t="s">
        <v>8</v>
      </c>
      <c r="K402" s="137">
        <v>3</v>
      </c>
      <c r="L402" s="203">
        <v>0</v>
      </c>
      <c r="M402" s="137">
        <f>K402*L402</f>
        <v>0</v>
      </c>
      <c r="N402" s="137">
        <v>0</v>
      </c>
      <c r="O402" s="140" t="s">
        <v>1302</v>
      </c>
      <c r="P402" s="130"/>
      <c r="Z402" s="137">
        <f>IF(AQ402="5",BJ402,0)</f>
        <v>0</v>
      </c>
      <c r="AB402" s="137">
        <f>IF(AQ402="1",BH402,0)</f>
        <v>0</v>
      </c>
      <c r="AC402" s="137">
        <f>IF(AQ402="1",BI402,0)</f>
        <v>0</v>
      </c>
      <c r="AD402" s="137">
        <f>IF(AQ402="7",BH402,0)</f>
        <v>0</v>
      </c>
      <c r="AE402" s="137">
        <f>IF(AQ402="7",BI402,0)</f>
        <v>0</v>
      </c>
      <c r="AF402" s="137">
        <f>IF(AQ402="2",BH402,0)</f>
        <v>0</v>
      </c>
      <c r="AG402" s="137">
        <f>IF(AQ402="2",BI402,0)</f>
        <v>0</v>
      </c>
      <c r="AH402" s="137">
        <f>IF(AQ402="0",BJ402,0)</f>
        <v>0</v>
      </c>
      <c r="AI402" s="138" t="s">
        <v>1339</v>
      </c>
      <c r="AJ402" s="137">
        <f>IF(AN402=0,M402,0)</f>
        <v>0</v>
      </c>
      <c r="AK402" s="137">
        <f>IF(AN402=15,M402,0)</f>
        <v>0</v>
      </c>
      <c r="AL402" s="137">
        <f>IF(AN402=21,M402,0)</f>
        <v>0</v>
      </c>
      <c r="AN402" s="137">
        <v>21</v>
      </c>
      <c r="AO402" s="137">
        <f>L402*0</f>
        <v>0</v>
      </c>
      <c r="AP402" s="137">
        <f>L402*(1-0)</f>
        <v>0</v>
      </c>
      <c r="AQ402" s="139" t="s">
        <v>352</v>
      </c>
      <c r="AV402" s="137">
        <f>AW402+AX402</f>
        <v>0</v>
      </c>
      <c r="AW402" s="137">
        <f>K402*AO402</f>
        <v>0</v>
      </c>
      <c r="AX402" s="137">
        <f>K402*AP402</f>
        <v>0</v>
      </c>
      <c r="AY402" s="139" t="s">
        <v>1472</v>
      </c>
      <c r="AZ402" s="139" t="s">
        <v>1460</v>
      </c>
      <c r="BA402" s="138" t="s">
        <v>1336</v>
      </c>
      <c r="BC402" s="137">
        <f>AW402+AX402</f>
        <v>0</v>
      </c>
      <c r="BD402" s="137">
        <f>L402/(100-BE402)*100</f>
        <v>0</v>
      </c>
      <c r="BE402" s="137">
        <v>0</v>
      </c>
      <c r="BF402" s="137">
        <f>402</f>
        <v>402</v>
      </c>
      <c r="BH402" s="137">
        <f>K402*AO402</f>
        <v>0</v>
      </c>
      <c r="BI402" s="137">
        <f>K402*AP402</f>
        <v>0</v>
      </c>
      <c r="BJ402" s="137">
        <f>K402*L402</f>
        <v>0</v>
      </c>
      <c r="BK402" s="137" t="s">
        <v>442</v>
      </c>
      <c r="BL402" s="137">
        <v>783</v>
      </c>
    </row>
    <row r="403" spans="1:64" ht="14.65" customHeight="1">
      <c r="A403" s="130"/>
      <c r="D403" s="251" t="s">
        <v>1475</v>
      </c>
      <c r="E403" s="251"/>
      <c r="F403" s="251"/>
      <c r="G403" s="251"/>
      <c r="H403" s="251"/>
      <c r="I403" s="251"/>
      <c r="J403" s="251"/>
      <c r="K403" s="251"/>
      <c r="L403" s="251"/>
      <c r="M403" s="251"/>
      <c r="N403" s="251"/>
      <c r="O403" s="251"/>
      <c r="P403" s="130"/>
    </row>
    <row r="404" spans="1:64">
      <c r="A404" s="130"/>
      <c r="D404" s="157" t="s">
        <v>362</v>
      </c>
      <c r="I404" s="156"/>
      <c r="K404" s="155">
        <v>3</v>
      </c>
      <c r="O404" s="154"/>
      <c r="P404" s="130"/>
    </row>
    <row r="405" spans="1:64">
      <c r="A405" s="142" t="s">
        <v>748</v>
      </c>
      <c r="B405" s="141" t="s">
        <v>1339</v>
      </c>
      <c r="C405" s="141" t="s">
        <v>1474</v>
      </c>
      <c r="D405" s="243" t="s">
        <v>1473</v>
      </c>
      <c r="E405" s="243"/>
      <c r="F405" s="243"/>
      <c r="G405" s="243"/>
      <c r="H405" s="243"/>
      <c r="I405" s="243"/>
      <c r="J405" s="141" t="s">
        <v>691</v>
      </c>
      <c r="K405" s="137">
        <v>1265</v>
      </c>
      <c r="L405" s="203">
        <v>0</v>
      </c>
      <c r="M405" s="137">
        <f>K405*L405</f>
        <v>0</v>
      </c>
      <c r="N405" s="137">
        <v>1.6000000000000001E-4</v>
      </c>
      <c r="O405" s="140" t="s">
        <v>1340</v>
      </c>
      <c r="P405" s="130"/>
      <c r="Z405" s="137">
        <f>IF(AQ405="5",BJ405,0)</f>
        <v>0</v>
      </c>
      <c r="AB405" s="137">
        <f>IF(AQ405="1",BH405,0)</f>
        <v>0</v>
      </c>
      <c r="AC405" s="137">
        <f>IF(AQ405="1",BI405,0)</f>
        <v>0</v>
      </c>
      <c r="AD405" s="137">
        <f>IF(AQ405="7",BH405,0)</f>
        <v>0</v>
      </c>
      <c r="AE405" s="137">
        <f>IF(AQ405="7",BI405,0)</f>
        <v>0</v>
      </c>
      <c r="AF405" s="137">
        <f>IF(AQ405="2",BH405,0)</f>
        <v>0</v>
      </c>
      <c r="AG405" s="137">
        <f>IF(AQ405="2",BI405,0)</f>
        <v>0</v>
      </c>
      <c r="AH405" s="137">
        <f>IF(AQ405="0",BJ405,0)</f>
        <v>0</v>
      </c>
      <c r="AI405" s="138" t="s">
        <v>1339</v>
      </c>
      <c r="AJ405" s="137">
        <f>IF(AN405=0,M405,0)</f>
        <v>0</v>
      </c>
      <c r="AK405" s="137">
        <f>IF(AN405=15,M405,0)</f>
        <v>0</v>
      </c>
      <c r="AL405" s="137">
        <f>IF(AN405=21,M405,0)</f>
        <v>0</v>
      </c>
      <c r="AN405" s="137">
        <v>21</v>
      </c>
      <c r="AO405" s="137">
        <f>L405*0.226583850931677</f>
        <v>0</v>
      </c>
      <c r="AP405" s="137">
        <f>L405*(1-0.226583850931677)</f>
        <v>0</v>
      </c>
      <c r="AQ405" s="139" t="s">
        <v>352</v>
      </c>
      <c r="AV405" s="137">
        <f>AW405+AX405</f>
        <v>0</v>
      </c>
      <c r="AW405" s="137">
        <f>K405*AO405</f>
        <v>0</v>
      </c>
      <c r="AX405" s="137">
        <f>K405*AP405</f>
        <v>0</v>
      </c>
      <c r="AY405" s="139" t="s">
        <v>1472</v>
      </c>
      <c r="AZ405" s="139" t="s">
        <v>1460</v>
      </c>
      <c r="BA405" s="138" t="s">
        <v>1336</v>
      </c>
      <c r="BC405" s="137">
        <f>AW405+AX405</f>
        <v>0</v>
      </c>
      <c r="BD405" s="137">
        <f>L405/(100-BE405)*100</f>
        <v>0</v>
      </c>
      <c r="BE405" s="137">
        <v>0</v>
      </c>
      <c r="BF405" s="137">
        <f>405</f>
        <v>405</v>
      </c>
      <c r="BH405" s="137">
        <f>K405*AO405</f>
        <v>0</v>
      </c>
      <c r="BI405" s="137">
        <f>K405*AP405</f>
        <v>0</v>
      </c>
      <c r="BJ405" s="137">
        <f>K405*L405</f>
        <v>0</v>
      </c>
      <c r="BK405" s="137" t="s">
        <v>442</v>
      </c>
      <c r="BL405" s="137">
        <v>783</v>
      </c>
    </row>
    <row r="406" spans="1:64" ht="22.35" customHeight="1">
      <c r="A406" s="130"/>
      <c r="D406" s="251" t="s">
        <v>1471</v>
      </c>
      <c r="E406" s="251"/>
      <c r="F406" s="251"/>
      <c r="G406" s="251"/>
      <c r="H406" s="251"/>
      <c r="I406" s="251"/>
      <c r="J406" s="251"/>
      <c r="K406" s="251"/>
      <c r="L406" s="251"/>
      <c r="M406" s="251"/>
      <c r="N406" s="251"/>
      <c r="O406" s="251"/>
      <c r="P406" s="130"/>
    </row>
    <row r="407" spans="1:64">
      <c r="A407" s="130"/>
      <c r="D407" s="157" t="s">
        <v>1470</v>
      </c>
      <c r="I407" s="156"/>
      <c r="K407" s="155">
        <v>1265</v>
      </c>
      <c r="O407" s="154"/>
      <c r="P407" s="130"/>
    </row>
    <row r="408" spans="1:64">
      <c r="A408" s="147"/>
      <c r="B408" s="146" t="s">
        <v>1339</v>
      </c>
      <c r="C408" s="146" t="s">
        <v>1469</v>
      </c>
      <c r="D408" s="252" t="s">
        <v>1468</v>
      </c>
      <c r="E408" s="252"/>
      <c r="F408" s="252"/>
      <c r="G408" s="252"/>
      <c r="H408" s="252"/>
      <c r="I408" s="252"/>
      <c r="J408" s="145" t="s">
        <v>1305</v>
      </c>
      <c r="K408" s="145" t="s">
        <v>1305</v>
      </c>
      <c r="L408" s="145" t="s">
        <v>1305</v>
      </c>
      <c r="M408" s="143">
        <f>SUM(M409:M412)</f>
        <v>0</v>
      </c>
      <c r="N408" s="138"/>
      <c r="O408" s="144"/>
      <c r="P408" s="130"/>
      <c r="AI408" s="138" t="s">
        <v>1339</v>
      </c>
      <c r="AS408" s="143">
        <f>SUM(AJ409:AJ412)</f>
        <v>0</v>
      </c>
      <c r="AT408" s="143">
        <f>SUM(AK409:AK412)</f>
        <v>0</v>
      </c>
      <c r="AU408" s="143">
        <f>SUM(AL409:AL412)</f>
        <v>0</v>
      </c>
    </row>
    <row r="409" spans="1:64">
      <c r="A409" s="142" t="s">
        <v>145</v>
      </c>
      <c r="B409" s="141" t="s">
        <v>1339</v>
      </c>
      <c r="C409" s="141" t="s">
        <v>1467</v>
      </c>
      <c r="D409" s="243" t="s">
        <v>1466</v>
      </c>
      <c r="E409" s="243"/>
      <c r="F409" s="243"/>
      <c r="G409" s="243"/>
      <c r="H409" s="243"/>
      <c r="I409" s="243"/>
      <c r="J409" s="141" t="s">
        <v>691</v>
      </c>
      <c r="K409" s="137">
        <v>511.68</v>
      </c>
      <c r="L409" s="203">
        <v>0</v>
      </c>
      <c r="M409" s="137">
        <f>K409*L409</f>
        <v>0</v>
      </c>
      <c r="N409" s="137">
        <v>3.5E-4</v>
      </c>
      <c r="O409" s="140" t="s">
        <v>1340</v>
      </c>
      <c r="P409" s="130"/>
      <c r="Z409" s="137">
        <f>IF(AQ409="5",BJ409,0)</f>
        <v>0</v>
      </c>
      <c r="AB409" s="137">
        <f>IF(AQ409="1",BH409,0)</f>
        <v>0</v>
      </c>
      <c r="AC409" s="137">
        <f>IF(AQ409="1",BI409,0)</f>
        <v>0</v>
      </c>
      <c r="AD409" s="137">
        <f>IF(AQ409="7",BH409,0)</f>
        <v>0</v>
      </c>
      <c r="AE409" s="137">
        <f>IF(AQ409="7",BI409,0)</f>
        <v>0</v>
      </c>
      <c r="AF409" s="137">
        <f>IF(AQ409="2",BH409,0)</f>
        <v>0</v>
      </c>
      <c r="AG409" s="137">
        <f>IF(AQ409="2",BI409,0)</f>
        <v>0</v>
      </c>
      <c r="AH409" s="137">
        <f>IF(AQ409="0",BJ409,0)</f>
        <v>0</v>
      </c>
      <c r="AI409" s="138" t="s">
        <v>1339</v>
      </c>
      <c r="AJ409" s="137">
        <f>IF(AN409=0,M409,0)</f>
        <v>0</v>
      </c>
      <c r="AK409" s="137">
        <f>IF(AN409=15,M409,0)</f>
        <v>0</v>
      </c>
      <c r="AL409" s="137">
        <f>IF(AN409=21,M409,0)</f>
        <v>0</v>
      </c>
      <c r="AN409" s="137">
        <v>21</v>
      </c>
      <c r="AO409" s="137">
        <f>L409*0.590361306774635</f>
        <v>0</v>
      </c>
      <c r="AP409" s="137">
        <f>L409*(1-0.590361306774635)</f>
        <v>0</v>
      </c>
      <c r="AQ409" s="139" t="s">
        <v>352</v>
      </c>
      <c r="AV409" s="137">
        <f>AW409+AX409</f>
        <v>0</v>
      </c>
      <c r="AW409" s="137">
        <f>K409*AO409</f>
        <v>0</v>
      </c>
      <c r="AX409" s="137">
        <f>K409*AP409</f>
        <v>0</v>
      </c>
      <c r="AY409" s="139" t="s">
        <v>1461</v>
      </c>
      <c r="AZ409" s="139" t="s">
        <v>1460</v>
      </c>
      <c r="BA409" s="138" t="s">
        <v>1336</v>
      </c>
      <c r="BC409" s="137">
        <f>AW409+AX409</f>
        <v>0</v>
      </c>
      <c r="BD409" s="137">
        <f>L409/(100-BE409)*100</f>
        <v>0</v>
      </c>
      <c r="BE409" s="137">
        <v>0</v>
      </c>
      <c r="BF409" s="137">
        <f>409</f>
        <v>409</v>
      </c>
      <c r="BH409" s="137">
        <f>K409*AO409</f>
        <v>0</v>
      </c>
      <c r="BI409" s="137">
        <f>K409*AP409</f>
        <v>0</v>
      </c>
      <c r="BJ409" s="137">
        <f>K409*L409</f>
        <v>0</v>
      </c>
      <c r="BK409" s="137" t="s">
        <v>442</v>
      </c>
      <c r="BL409" s="137">
        <v>784</v>
      </c>
    </row>
    <row r="410" spans="1:64" ht="14.65" customHeight="1">
      <c r="A410" s="130"/>
      <c r="D410" s="251" t="s">
        <v>1465</v>
      </c>
      <c r="E410" s="251"/>
      <c r="F410" s="251"/>
      <c r="G410" s="251"/>
      <c r="H410" s="251"/>
      <c r="I410" s="251"/>
      <c r="J410" s="251"/>
      <c r="K410" s="251"/>
      <c r="L410" s="251"/>
      <c r="M410" s="251"/>
      <c r="N410" s="251"/>
      <c r="O410" s="251"/>
      <c r="P410" s="130"/>
    </row>
    <row r="411" spans="1:64">
      <c r="A411" s="130"/>
      <c r="D411" s="157" t="s">
        <v>1464</v>
      </c>
      <c r="I411" s="156"/>
      <c r="K411" s="155">
        <v>511.68</v>
      </c>
      <c r="O411" s="154"/>
      <c r="P411" s="130"/>
    </row>
    <row r="412" spans="1:64">
      <c r="A412" s="142" t="s">
        <v>738</v>
      </c>
      <c r="B412" s="141" t="s">
        <v>1339</v>
      </c>
      <c r="C412" s="141" t="s">
        <v>1463</v>
      </c>
      <c r="D412" s="243" t="s">
        <v>1462</v>
      </c>
      <c r="E412" s="243"/>
      <c r="F412" s="243"/>
      <c r="G412" s="243"/>
      <c r="H412" s="243"/>
      <c r="I412" s="243"/>
      <c r="J412" s="141" t="s">
        <v>691</v>
      </c>
      <c r="K412" s="137">
        <v>348.39</v>
      </c>
      <c r="L412" s="203">
        <v>0</v>
      </c>
      <c r="M412" s="137">
        <f>K412*L412</f>
        <v>0</v>
      </c>
      <c r="N412" s="137">
        <v>6.4000000000000005E-4</v>
      </c>
      <c r="O412" s="140" t="s">
        <v>1340</v>
      </c>
      <c r="P412" s="130"/>
      <c r="Z412" s="137">
        <f>IF(AQ412="5",BJ412,0)</f>
        <v>0</v>
      </c>
      <c r="AB412" s="137">
        <f>IF(AQ412="1",BH412,0)</f>
        <v>0</v>
      </c>
      <c r="AC412" s="137">
        <f>IF(AQ412="1",BI412,0)</f>
        <v>0</v>
      </c>
      <c r="AD412" s="137">
        <f>IF(AQ412="7",BH412,0)</f>
        <v>0</v>
      </c>
      <c r="AE412" s="137">
        <f>IF(AQ412="7",BI412,0)</f>
        <v>0</v>
      </c>
      <c r="AF412" s="137">
        <f>IF(AQ412="2",BH412,0)</f>
        <v>0</v>
      </c>
      <c r="AG412" s="137">
        <f>IF(AQ412="2",BI412,0)</f>
        <v>0</v>
      </c>
      <c r="AH412" s="137">
        <f>IF(AQ412="0",BJ412,0)</f>
        <v>0</v>
      </c>
      <c r="AI412" s="138" t="s">
        <v>1339</v>
      </c>
      <c r="AJ412" s="137">
        <f>IF(AN412=0,M412,0)</f>
        <v>0</v>
      </c>
      <c r="AK412" s="137">
        <f>IF(AN412=15,M412,0)</f>
        <v>0</v>
      </c>
      <c r="AL412" s="137">
        <f>IF(AN412=21,M412,0)</f>
        <v>0</v>
      </c>
      <c r="AN412" s="137">
        <v>21</v>
      </c>
      <c r="AO412" s="137">
        <f>L412*0.254487210703695</f>
        <v>0</v>
      </c>
      <c r="AP412" s="137">
        <f>L412*(1-0.254487210703695)</f>
        <v>0</v>
      </c>
      <c r="AQ412" s="139" t="s">
        <v>352</v>
      </c>
      <c r="AV412" s="137">
        <f>AW412+AX412</f>
        <v>0</v>
      </c>
      <c r="AW412" s="137">
        <f>K412*AO412</f>
        <v>0</v>
      </c>
      <c r="AX412" s="137">
        <f>K412*AP412</f>
        <v>0</v>
      </c>
      <c r="AY412" s="139" t="s">
        <v>1461</v>
      </c>
      <c r="AZ412" s="139" t="s">
        <v>1460</v>
      </c>
      <c r="BA412" s="138" t="s">
        <v>1336</v>
      </c>
      <c r="BC412" s="137">
        <f>AW412+AX412</f>
        <v>0</v>
      </c>
      <c r="BD412" s="137">
        <f>L412/(100-BE412)*100</f>
        <v>0</v>
      </c>
      <c r="BE412" s="137">
        <v>0</v>
      </c>
      <c r="BF412" s="137">
        <f>412</f>
        <v>412</v>
      </c>
      <c r="BH412" s="137">
        <f>K412*AO412</f>
        <v>0</v>
      </c>
      <c r="BI412" s="137">
        <f>K412*AP412</f>
        <v>0</v>
      </c>
      <c r="BJ412" s="137">
        <f>K412*L412</f>
        <v>0</v>
      </c>
      <c r="BK412" s="137" t="s">
        <v>442</v>
      </c>
      <c r="BL412" s="137">
        <v>784</v>
      </c>
    </row>
    <row r="413" spans="1:64" ht="14.65" customHeight="1">
      <c r="A413" s="130"/>
      <c r="D413" s="251" t="s">
        <v>1459</v>
      </c>
      <c r="E413" s="251"/>
      <c r="F413" s="251"/>
      <c r="G413" s="251"/>
      <c r="H413" s="251"/>
      <c r="I413" s="251"/>
      <c r="J413" s="251"/>
      <c r="K413" s="251"/>
      <c r="L413" s="251"/>
      <c r="M413" s="251"/>
      <c r="N413" s="251"/>
      <c r="O413" s="251"/>
      <c r="P413" s="130"/>
    </row>
    <row r="414" spans="1:64">
      <c r="A414" s="130"/>
      <c r="D414" s="157" t="s">
        <v>1458</v>
      </c>
      <c r="I414" s="156"/>
      <c r="K414" s="155">
        <v>130.85</v>
      </c>
      <c r="O414" s="154"/>
      <c r="P414" s="130"/>
    </row>
    <row r="415" spans="1:64">
      <c r="A415" s="130"/>
      <c r="D415" s="157" t="s">
        <v>1457</v>
      </c>
      <c r="I415" s="156"/>
      <c r="K415" s="155">
        <v>3.9</v>
      </c>
      <c r="O415" s="154"/>
      <c r="P415" s="130"/>
    </row>
    <row r="416" spans="1:64">
      <c r="A416" s="130"/>
      <c r="D416" s="157" t="s">
        <v>1456</v>
      </c>
      <c r="I416" s="156"/>
      <c r="K416" s="155">
        <v>69.099999999999994</v>
      </c>
      <c r="O416" s="154"/>
      <c r="P416" s="130"/>
    </row>
    <row r="417" spans="1:64">
      <c r="A417" s="130"/>
      <c r="D417" s="157" t="s">
        <v>1455</v>
      </c>
      <c r="I417" s="156"/>
      <c r="K417" s="155">
        <v>144.54</v>
      </c>
      <c r="O417" s="154"/>
      <c r="P417" s="130"/>
    </row>
    <row r="418" spans="1:64">
      <c r="A418" s="147"/>
      <c r="B418" s="146" t="s">
        <v>1339</v>
      </c>
      <c r="C418" s="146" t="s">
        <v>57</v>
      </c>
      <c r="D418" s="252" t="s">
        <v>1454</v>
      </c>
      <c r="E418" s="252"/>
      <c r="F418" s="252"/>
      <c r="G418" s="252"/>
      <c r="H418" s="252"/>
      <c r="I418" s="252"/>
      <c r="J418" s="145" t="s">
        <v>1305</v>
      </c>
      <c r="K418" s="145" t="s">
        <v>1305</v>
      </c>
      <c r="L418" s="145" t="s">
        <v>1305</v>
      </c>
      <c r="M418" s="143">
        <f>SUM(M419:M429)</f>
        <v>0</v>
      </c>
      <c r="N418" s="138"/>
      <c r="O418" s="144"/>
      <c r="P418" s="130"/>
      <c r="AI418" s="138" t="s">
        <v>1339</v>
      </c>
      <c r="AS418" s="143">
        <f>SUM(AJ419:AJ429)</f>
        <v>0</v>
      </c>
      <c r="AT418" s="143">
        <f>SUM(AK419:AK429)</f>
        <v>0</v>
      </c>
      <c r="AU418" s="143">
        <f>SUM(AL419:AL429)</f>
        <v>0</v>
      </c>
    </row>
    <row r="419" spans="1:64">
      <c r="A419" s="142" t="s">
        <v>142</v>
      </c>
      <c r="B419" s="141" t="s">
        <v>1339</v>
      </c>
      <c r="C419" s="141" t="s">
        <v>1453</v>
      </c>
      <c r="D419" s="243" t="s">
        <v>1452</v>
      </c>
      <c r="E419" s="243"/>
      <c r="F419" s="243"/>
      <c r="G419" s="243"/>
      <c r="H419" s="243"/>
      <c r="I419" s="243"/>
      <c r="J419" s="141" t="s">
        <v>722</v>
      </c>
      <c r="K419" s="137">
        <v>15</v>
      </c>
      <c r="L419" s="203">
        <v>0</v>
      </c>
      <c r="M419" s="137">
        <f>K419*L419</f>
        <v>0</v>
      </c>
      <c r="N419" s="137">
        <v>4.7699999999999999E-3</v>
      </c>
      <c r="O419" s="140" t="s">
        <v>1340</v>
      </c>
      <c r="P419" s="130"/>
      <c r="Z419" s="137">
        <f>IF(AQ419="5",BJ419,0)</f>
        <v>0</v>
      </c>
      <c r="AB419" s="137">
        <f>IF(AQ419="1",BH419,0)</f>
        <v>0</v>
      </c>
      <c r="AC419" s="137">
        <f>IF(AQ419="1",BI419,0)</f>
        <v>0</v>
      </c>
      <c r="AD419" s="137">
        <f>IF(AQ419="7",BH419,0)</f>
        <v>0</v>
      </c>
      <c r="AE419" s="137">
        <f>IF(AQ419="7",BI419,0)</f>
        <v>0</v>
      </c>
      <c r="AF419" s="137">
        <f>IF(AQ419="2",BH419,0)</f>
        <v>0</v>
      </c>
      <c r="AG419" s="137">
        <f>IF(AQ419="2",BI419,0)</f>
        <v>0</v>
      </c>
      <c r="AH419" s="137">
        <f>IF(AQ419="0",BJ419,0)</f>
        <v>0</v>
      </c>
      <c r="AI419" s="138" t="s">
        <v>1339</v>
      </c>
      <c r="AJ419" s="137">
        <f>IF(AN419=0,M419,0)</f>
        <v>0</v>
      </c>
      <c r="AK419" s="137">
        <f>IF(AN419=15,M419,0)</f>
        <v>0</v>
      </c>
      <c r="AL419" s="137">
        <f>IF(AN419=21,M419,0)</f>
        <v>0</v>
      </c>
      <c r="AN419" s="137">
        <v>21</v>
      </c>
      <c r="AO419" s="137">
        <f>L419*0.0467397260273973</f>
        <v>0</v>
      </c>
      <c r="AP419" s="137">
        <f>L419*(1-0.0467397260273973)</f>
        <v>0</v>
      </c>
      <c r="AQ419" s="139" t="s">
        <v>2</v>
      </c>
      <c r="AV419" s="137">
        <f>AW419+AX419</f>
        <v>0</v>
      </c>
      <c r="AW419" s="137">
        <f>K419*AO419</f>
        <v>0</v>
      </c>
      <c r="AX419" s="137">
        <f>K419*AP419</f>
        <v>0</v>
      </c>
      <c r="AY419" s="139" t="s">
        <v>1439</v>
      </c>
      <c r="AZ419" s="139" t="s">
        <v>1337</v>
      </c>
      <c r="BA419" s="138" t="s">
        <v>1336</v>
      </c>
      <c r="BC419" s="137">
        <f>AW419+AX419</f>
        <v>0</v>
      </c>
      <c r="BD419" s="137">
        <f>L419/(100-BE419)*100</f>
        <v>0</v>
      </c>
      <c r="BE419" s="137">
        <v>0</v>
      </c>
      <c r="BF419" s="137">
        <f>419</f>
        <v>419</v>
      </c>
      <c r="BH419" s="137">
        <f>K419*AO419</f>
        <v>0</v>
      </c>
      <c r="BI419" s="137">
        <f>K419*AP419</f>
        <v>0</v>
      </c>
      <c r="BJ419" s="137">
        <f>K419*L419</f>
        <v>0</v>
      </c>
      <c r="BK419" s="137" t="s">
        <v>442</v>
      </c>
      <c r="BL419" s="137">
        <v>95</v>
      </c>
    </row>
    <row r="420" spans="1:64">
      <c r="A420" s="130"/>
      <c r="D420" s="157" t="s">
        <v>1451</v>
      </c>
      <c r="I420" s="156"/>
      <c r="K420" s="155">
        <v>15</v>
      </c>
      <c r="O420" s="154"/>
      <c r="P420" s="130"/>
    </row>
    <row r="421" spans="1:64">
      <c r="A421" s="142" t="s">
        <v>725</v>
      </c>
      <c r="B421" s="141" t="s">
        <v>1339</v>
      </c>
      <c r="C421" s="141" t="s">
        <v>1450</v>
      </c>
      <c r="D421" s="243" t="s">
        <v>1449</v>
      </c>
      <c r="E421" s="243"/>
      <c r="F421" s="243"/>
      <c r="G421" s="243"/>
      <c r="H421" s="243"/>
      <c r="I421" s="243"/>
      <c r="J421" s="141" t="s">
        <v>722</v>
      </c>
      <c r="K421" s="137">
        <v>15</v>
      </c>
      <c r="L421" s="203">
        <v>0</v>
      </c>
      <c r="M421" s="137">
        <f>K421*L421</f>
        <v>0</v>
      </c>
      <c r="N421" s="137">
        <v>3.5E-4</v>
      </c>
      <c r="O421" s="140" t="s">
        <v>1340</v>
      </c>
      <c r="P421" s="130"/>
      <c r="Z421" s="137">
        <f>IF(AQ421="5",BJ421,0)</f>
        <v>0</v>
      </c>
      <c r="AB421" s="137">
        <f>IF(AQ421="1",BH421,0)</f>
        <v>0</v>
      </c>
      <c r="AC421" s="137">
        <f>IF(AQ421="1",BI421,0)</f>
        <v>0</v>
      </c>
      <c r="AD421" s="137">
        <f>IF(AQ421="7",BH421,0)</f>
        <v>0</v>
      </c>
      <c r="AE421" s="137">
        <f>IF(AQ421="7",BI421,0)</f>
        <v>0</v>
      </c>
      <c r="AF421" s="137">
        <f>IF(AQ421="2",BH421,0)</f>
        <v>0</v>
      </c>
      <c r="AG421" s="137">
        <f>IF(AQ421="2",BI421,0)</f>
        <v>0</v>
      </c>
      <c r="AH421" s="137">
        <f>IF(AQ421="0",BJ421,0)</f>
        <v>0</v>
      </c>
      <c r="AI421" s="138" t="s">
        <v>1339</v>
      </c>
      <c r="AJ421" s="137">
        <f>IF(AN421=0,M421,0)</f>
        <v>0</v>
      </c>
      <c r="AK421" s="137">
        <f>IF(AN421=15,M421,0)</f>
        <v>0</v>
      </c>
      <c r="AL421" s="137">
        <f>IF(AN421=21,M421,0)</f>
        <v>0</v>
      </c>
      <c r="AN421" s="137">
        <v>21</v>
      </c>
      <c r="AO421" s="137">
        <f>L421*1</f>
        <v>0</v>
      </c>
      <c r="AP421" s="137">
        <f>L421*(1-1)</f>
        <v>0</v>
      </c>
      <c r="AQ421" s="139" t="s">
        <v>2</v>
      </c>
      <c r="AV421" s="137">
        <f>AW421+AX421</f>
        <v>0</v>
      </c>
      <c r="AW421" s="137">
        <f>K421*AO421</f>
        <v>0</v>
      </c>
      <c r="AX421" s="137">
        <f>K421*AP421</f>
        <v>0</v>
      </c>
      <c r="AY421" s="139" t="s">
        <v>1439</v>
      </c>
      <c r="AZ421" s="139" t="s">
        <v>1337</v>
      </c>
      <c r="BA421" s="138" t="s">
        <v>1336</v>
      </c>
      <c r="BC421" s="137">
        <f>AW421+AX421</f>
        <v>0</v>
      </c>
      <c r="BD421" s="137">
        <f>L421/(100-BE421)*100</f>
        <v>0</v>
      </c>
      <c r="BE421" s="137">
        <v>0</v>
      </c>
      <c r="BF421" s="137">
        <f>421</f>
        <v>421</v>
      </c>
      <c r="BH421" s="137">
        <f>K421*AO421</f>
        <v>0</v>
      </c>
      <c r="BI421" s="137">
        <f>K421*AP421</f>
        <v>0</v>
      </c>
      <c r="BJ421" s="137">
        <f>K421*L421</f>
        <v>0</v>
      </c>
      <c r="BK421" s="137" t="s">
        <v>750</v>
      </c>
      <c r="BL421" s="137">
        <v>95</v>
      </c>
    </row>
    <row r="422" spans="1:64">
      <c r="A422" s="130"/>
      <c r="D422" s="157" t="s">
        <v>332</v>
      </c>
      <c r="I422" s="156"/>
      <c r="K422" s="155">
        <v>15</v>
      </c>
      <c r="O422" s="154"/>
      <c r="P422" s="130"/>
    </row>
    <row r="423" spans="1:64">
      <c r="A423" s="142" t="s">
        <v>138</v>
      </c>
      <c r="B423" s="141" t="s">
        <v>1339</v>
      </c>
      <c r="C423" s="141" t="s">
        <v>1448</v>
      </c>
      <c r="D423" s="243" t="s">
        <v>1447</v>
      </c>
      <c r="E423" s="243"/>
      <c r="F423" s="243"/>
      <c r="G423" s="243"/>
      <c r="H423" s="243"/>
      <c r="I423" s="243"/>
      <c r="J423" s="141" t="s">
        <v>691</v>
      </c>
      <c r="K423" s="137">
        <v>511.68</v>
      </c>
      <c r="L423" s="203">
        <v>0</v>
      </c>
      <c r="M423" s="137">
        <f>K423*L423</f>
        <v>0</v>
      </c>
      <c r="N423" s="137">
        <v>4.0000000000000003E-5</v>
      </c>
      <c r="O423" s="140" t="s">
        <v>1340</v>
      </c>
      <c r="P423" s="130"/>
      <c r="Z423" s="137">
        <f>IF(AQ423="5",BJ423,0)</f>
        <v>0</v>
      </c>
      <c r="AB423" s="137">
        <f>IF(AQ423="1",BH423,0)</f>
        <v>0</v>
      </c>
      <c r="AC423" s="137">
        <f>IF(AQ423="1",BI423,0)</f>
        <v>0</v>
      </c>
      <c r="AD423" s="137">
        <f>IF(AQ423="7",BH423,0)</f>
        <v>0</v>
      </c>
      <c r="AE423" s="137">
        <f>IF(AQ423="7",BI423,0)</f>
        <v>0</v>
      </c>
      <c r="AF423" s="137">
        <f>IF(AQ423="2",BH423,0)</f>
        <v>0</v>
      </c>
      <c r="AG423" s="137">
        <f>IF(AQ423="2",BI423,0)</f>
        <v>0</v>
      </c>
      <c r="AH423" s="137">
        <f>IF(AQ423="0",BJ423,0)</f>
        <v>0</v>
      </c>
      <c r="AI423" s="138" t="s">
        <v>1339</v>
      </c>
      <c r="AJ423" s="137">
        <f>IF(AN423=0,M423,0)</f>
        <v>0</v>
      </c>
      <c r="AK423" s="137">
        <f>IF(AN423=15,M423,0)</f>
        <v>0</v>
      </c>
      <c r="AL423" s="137">
        <f>IF(AN423=21,M423,0)</f>
        <v>0</v>
      </c>
      <c r="AN423" s="137">
        <v>21</v>
      </c>
      <c r="AO423" s="137">
        <f>L423*0.012078431372549</f>
        <v>0</v>
      </c>
      <c r="AP423" s="137">
        <f>L423*(1-0.012078431372549)</f>
        <v>0</v>
      </c>
      <c r="AQ423" s="139" t="s">
        <v>2</v>
      </c>
      <c r="AV423" s="137">
        <f>AW423+AX423</f>
        <v>0</v>
      </c>
      <c r="AW423" s="137">
        <f>K423*AO423</f>
        <v>0</v>
      </c>
      <c r="AX423" s="137">
        <f>K423*AP423</f>
        <v>0</v>
      </c>
      <c r="AY423" s="139" t="s">
        <v>1439</v>
      </c>
      <c r="AZ423" s="139" t="s">
        <v>1337</v>
      </c>
      <c r="BA423" s="138" t="s">
        <v>1336</v>
      </c>
      <c r="BC423" s="137">
        <f>AW423+AX423</f>
        <v>0</v>
      </c>
      <c r="BD423" s="137">
        <f>L423/(100-BE423)*100</f>
        <v>0</v>
      </c>
      <c r="BE423" s="137">
        <v>0</v>
      </c>
      <c r="BF423" s="137">
        <f>423</f>
        <v>423</v>
      </c>
      <c r="BH423" s="137">
        <f>K423*AO423</f>
        <v>0</v>
      </c>
      <c r="BI423" s="137">
        <f>K423*AP423</f>
        <v>0</v>
      </c>
      <c r="BJ423" s="137">
        <f>K423*L423</f>
        <v>0</v>
      </c>
      <c r="BK423" s="137" t="s">
        <v>442</v>
      </c>
      <c r="BL423" s="137">
        <v>95</v>
      </c>
    </row>
    <row r="424" spans="1:64">
      <c r="A424" s="130"/>
      <c r="D424" s="157" t="s">
        <v>1446</v>
      </c>
      <c r="I424" s="156"/>
      <c r="K424" s="155">
        <v>378.07</v>
      </c>
      <c r="O424" s="154"/>
      <c r="P424" s="130"/>
    </row>
    <row r="425" spans="1:64">
      <c r="A425" s="130"/>
      <c r="D425" s="157" t="s">
        <v>1445</v>
      </c>
      <c r="I425" s="156"/>
      <c r="K425" s="155">
        <v>133.61000000000001</v>
      </c>
      <c r="O425" s="154"/>
      <c r="P425" s="130"/>
    </row>
    <row r="426" spans="1:64">
      <c r="A426" s="142" t="s">
        <v>720</v>
      </c>
      <c r="B426" s="141" t="s">
        <v>1339</v>
      </c>
      <c r="C426" s="141" t="s">
        <v>1444</v>
      </c>
      <c r="D426" s="243" t="s">
        <v>1443</v>
      </c>
      <c r="E426" s="243"/>
      <c r="F426" s="243"/>
      <c r="G426" s="243"/>
      <c r="H426" s="243"/>
      <c r="I426" s="243"/>
      <c r="J426" s="141" t="s">
        <v>691</v>
      </c>
      <c r="K426" s="137">
        <v>175</v>
      </c>
      <c r="L426" s="203">
        <v>0</v>
      </c>
      <c r="M426" s="137">
        <f>K426*L426</f>
        <v>0</v>
      </c>
      <c r="N426" s="137">
        <v>0</v>
      </c>
      <c r="O426" s="140" t="s">
        <v>1302</v>
      </c>
      <c r="P426" s="130"/>
      <c r="Z426" s="137">
        <f>IF(AQ426="5",BJ426,0)</f>
        <v>0</v>
      </c>
      <c r="AB426" s="137">
        <f>IF(AQ426="1",BH426,0)</f>
        <v>0</v>
      </c>
      <c r="AC426" s="137">
        <f>IF(AQ426="1",BI426,0)</f>
        <v>0</v>
      </c>
      <c r="AD426" s="137">
        <f>IF(AQ426="7",BH426,0)</f>
        <v>0</v>
      </c>
      <c r="AE426" s="137">
        <f>IF(AQ426="7",BI426,0)</f>
        <v>0</v>
      </c>
      <c r="AF426" s="137">
        <f>IF(AQ426="2",BH426,0)</f>
        <v>0</v>
      </c>
      <c r="AG426" s="137">
        <f>IF(AQ426="2",BI426,0)</f>
        <v>0</v>
      </c>
      <c r="AH426" s="137">
        <f>IF(AQ426="0",BJ426,0)</f>
        <v>0</v>
      </c>
      <c r="AI426" s="138" t="s">
        <v>1339</v>
      </c>
      <c r="AJ426" s="137">
        <f>IF(AN426=0,M426,0)</f>
        <v>0</v>
      </c>
      <c r="AK426" s="137">
        <f>IF(AN426=15,M426,0)</f>
        <v>0</v>
      </c>
      <c r="AL426" s="137">
        <f>IF(AN426=21,M426,0)</f>
        <v>0</v>
      </c>
      <c r="AN426" s="137">
        <v>21</v>
      </c>
      <c r="AO426" s="137">
        <f>L426*0</f>
        <v>0</v>
      </c>
      <c r="AP426" s="137">
        <f>L426*(1-0)</f>
        <v>0</v>
      </c>
      <c r="AQ426" s="139" t="s">
        <v>2</v>
      </c>
      <c r="AV426" s="137">
        <f>AW426+AX426</f>
        <v>0</v>
      </c>
      <c r="AW426" s="137">
        <f>K426*AO426</f>
        <v>0</v>
      </c>
      <c r="AX426" s="137">
        <f>K426*AP426</f>
        <v>0</v>
      </c>
      <c r="AY426" s="139" t="s">
        <v>1439</v>
      </c>
      <c r="AZ426" s="139" t="s">
        <v>1337</v>
      </c>
      <c r="BA426" s="138" t="s">
        <v>1336</v>
      </c>
      <c r="BC426" s="137">
        <f>AW426+AX426</f>
        <v>0</v>
      </c>
      <c r="BD426" s="137">
        <f>L426/(100-BE426)*100</f>
        <v>0</v>
      </c>
      <c r="BE426" s="137">
        <v>0</v>
      </c>
      <c r="BF426" s="137">
        <f>426</f>
        <v>426</v>
      </c>
      <c r="BH426" s="137">
        <f>K426*AO426</f>
        <v>0</v>
      </c>
      <c r="BI426" s="137">
        <f>K426*AP426</f>
        <v>0</v>
      </c>
      <c r="BJ426" s="137">
        <f>K426*L426</f>
        <v>0</v>
      </c>
      <c r="BK426" s="137" t="s">
        <v>442</v>
      </c>
      <c r="BL426" s="137">
        <v>95</v>
      </c>
    </row>
    <row r="427" spans="1:64" ht="14.65" customHeight="1">
      <c r="A427" s="130"/>
      <c r="D427" s="251" t="s">
        <v>1442</v>
      </c>
      <c r="E427" s="251"/>
      <c r="F427" s="251"/>
      <c r="G427" s="251"/>
      <c r="H427" s="251"/>
      <c r="I427" s="251"/>
      <c r="J427" s="251"/>
      <c r="K427" s="251"/>
      <c r="L427" s="251"/>
      <c r="M427" s="251"/>
      <c r="N427" s="251"/>
      <c r="O427" s="251"/>
      <c r="P427" s="130"/>
    </row>
    <row r="428" spans="1:64">
      <c r="A428" s="130"/>
      <c r="D428" s="157" t="s">
        <v>1288</v>
      </c>
      <c r="I428" s="156"/>
      <c r="K428" s="155">
        <v>175</v>
      </c>
      <c r="O428" s="154"/>
      <c r="P428" s="130"/>
    </row>
    <row r="429" spans="1:64">
      <c r="A429" s="142" t="s">
        <v>134</v>
      </c>
      <c r="B429" s="141" t="s">
        <v>1339</v>
      </c>
      <c r="C429" s="141" t="s">
        <v>1441</v>
      </c>
      <c r="D429" s="243" t="s">
        <v>1440</v>
      </c>
      <c r="E429" s="243"/>
      <c r="F429" s="243"/>
      <c r="G429" s="243"/>
      <c r="H429" s="243"/>
      <c r="I429" s="243"/>
      <c r="J429" s="141" t="s">
        <v>8</v>
      </c>
      <c r="K429" s="137">
        <v>1</v>
      </c>
      <c r="L429" s="203">
        <v>0</v>
      </c>
      <c r="M429" s="137">
        <f>K429*L429</f>
        <v>0</v>
      </c>
      <c r="N429" s="137">
        <v>0</v>
      </c>
      <c r="O429" s="140" t="s">
        <v>1302</v>
      </c>
      <c r="P429" s="130"/>
      <c r="Z429" s="137">
        <f>IF(AQ429="5",BJ429,0)</f>
        <v>0</v>
      </c>
      <c r="AB429" s="137">
        <f>IF(AQ429="1",BH429,0)</f>
        <v>0</v>
      </c>
      <c r="AC429" s="137">
        <f>IF(AQ429="1",BI429,0)</f>
        <v>0</v>
      </c>
      <c r="AD429" s="137">
        <f>IF(AQ429="7",BH429,0)</f>
        <v>0</v>
      </c>
      <c r="AE429" s="137">
        <f>IF(AQ429="7",BI429,0)</f>
        <v>0</v>
      </c>
      <c r="AF429" s="137">
        <f>IF(AQ429="2",BH429,0)</f>
        <v>0</v>
      </c>
      <c r="AG429" s="137">
        <f>IF(AQ429="2",BI429,0)</f>
        <v>0</v>
      </c>
      <c r="AH429" s="137">
        <f>IF(AQ429="0",BJ429,0)</f>
        <v>0</v>
      </c>
      <c r="AI429" s="138" t="s">
        <v>1339</v>
      </c>
      <c r="AJ429" s="137">
        <f>IF(AN429=0,M429,0)</f>
        <v>0</v>
      </c>
      <c r="AK429" s="137">
        <f>IF(AN429=15,M429,0)</f>
        <v>0</v>
      </c>
      <c r="AL429" s="137">
        <f>IF(AN429=21,M429,0)</f>
        <v>0</v>
      </c>
      <c r="AN429" s="137">
        <v>21</v>
      </c>
      <c r="AO429" s="137">
        <f>L429*0</f>
        <v>0</v>
      </c>
      <c r="AP429" s="137">
        <f>L429*(1-0)</f>
        <v>0</v>
      </c>
      <c r="AQ429" s="139" t="s">
        <v>2</v>
      </c>
      <c r="AV429" s="137">
        <f>AW429+AX429</f>
        <v>0</v>
      </c>
      <c r="AW429" s="137">
        <f>K429*AO429</f>
        <v>0</v>
      </c>
      <c r="AX429" s="137">
        <f>K429*AP429</f>
        <v>0</v>
      </c>
      <c r="AY429" s="139" t="s">
        <v>1439</v>
      </c>
      <c r="AZ429" s="139" t="s">
        <v>1337</v>
      </c>
      <c r="BA429" s="138" t="s">
        <v>1336</v>
      </c>
      <c r="BC429" s="137">
        <f>AW429+AX429</f>
        <v>0</v>
      </c>
      <c r="BD429" s="137">
        <f>L429/(100-BE429)*100</f>
        <v>0</v>
      </c>
      <c r="BE429" s="137">
        <v>0</v>
      </c>
      <c r="BF429" s="137">
        <f>429</f>
        <v>429</v>
      </c>
      <c r="BH429" s="137">
        <f>K429*AO429</f>
        <v>0</v>
      </c>
      <c r="BI429" s="137">
        <f>K429*AP429</f>
        <v>0</v>
      </c>
      <c r="BJ429" s="137">
        <f>K429*L429</f>
        <v>0</v>
      </c>
      <c r="BK429" s="137" t="s">
        <v>442</v>
      </c>
      <c r="BL429" s="137">
        <v>95</v>
      </c>
    </row>
    <row r="430" spans="1:64" ht="14.65" customHeight="1">
      <c r="A430" s="130"/>
      <c r="D430" s="251" t="s">
        <v>1438</v>
      </c>
      <c r="E430" s="251"/>
      <c r="F430" s="251"/>
      <c r="G430" s="251"/>
      <c r="H430" s="251"/>
      <c r="I430" s="251"/>
      <c r="J430" s="251"/>
      <c r="K430" s="251"/>
      <c r="L430" s="251"/>
      <c r="M430" s="251"/>
      <c r="N430" s="251"/>
      <c r="O430" s="251"/>
      <c r="P430" s="130"/>
    </row>
    <row r="431" spans="1:64">
      <c r="A431" s="130"/>
      <c r="D431" s="157" t="s">
        <v>2</v>
      </c>
      <c r="I431" s="156"/>
      <c r="K431" s="155">
        <v>1</v>
      </c>
      <c r="O431" s="154"/>
      <c r="P431" s="130"/>
    </row>
    <row r="432" spans="1:64">
      <c r="A432" s="147"/>
      <c r="B432" s="146" t="s">
        <v>1339</v>
      </c>
      <c r="C432" s="146" t="s">
        <v>51</v>
      </c>
      <c r="D432" s="252" t="s">
        <v>1437</v>
      </c>
      <c r="E432" s="252"/>
      <c r="F432" s="252"/>
      <c r="G432" s="252"/>
      <c r="H432" s="252"/>
      <c r="I432" s="252"/>
      <c r="J432" s="145" t="s">
        <v>1305</v>
      </c>
      <c r="K432" s="145" t="s">
        <v>1305</v>
      </c>
      <c r="L432" s="145" t="s">
        <v>1305</v>
      </c>
      <c r="M432" s="143">
        <f>SUM(M433:M458)</f>
        <v>0</v>
      </c>
      <c r="N432" s="138"/>
      <c r="O432" s="144"/>
      <c r="P432" s="130"/>
      <c r="AI432" s="138" t="s">
        <v>1339</v>
      </c>
      <c r="AS432" s="143">
        <f>SUM(AJ433:AJ458)</f>
        <v>0</v>
      </c>
      <c r="AT432" s="143">
        <f>SUM(AK433:AK458)</f>
        <v>0</v>
      </c>
      <c r="AU432" s="143">
        <f>SUM(AL433:AL458)</f>
        <v>0</v>
      </c>
    </row>
    <row r="433" spans="1:64">
      <c r="A433" s="142" t="s">
        <v>710</v>
      </c>
      <c r="B433" s="141" t="s">
        <v>1339</v>
      </c>
      <c r="C433" s="141" t="s">
        <v>1436</v>
      </c>
      <c r="D433" s="243" t="s">
        <v>1435</v>
      </c>
      <c r="E433" s="243"/>
      <c r="F433" s="243"/>
      <c r="G433" s="243"/>
      <c r="H433" s="243"/>
      <c r="I433" s="243"/>
      <c r="J433" s="141" t="s">
        <v>691</v>
      </c>
      <c r="K433" s="137">
        <v>23.655000000000001</v>
      </c>
      <c r="L433" s="203">
        <v>0</v>
      </c>
      <c r="M433" s="137">
        <f>K433*L433</f>
        <v>0</v>
      </c>
      <c r="N433" s="137">
        <v>6.7000000000000002E-4</v>
      </c>
      <c r="O433" s="140" t="s">
        <v>1340</v>
      </c>
      <c r="P433" s="130"/>
      <c r="Z433" s="137">
        <f>IF(AQ433="5",BJ433,0)</f>
        <v>0</v>
      </c>
      <c r="AB433" s="137">
        <f>IF(AQ433="1",BH433,0)</f>
        <v>0</v>
      </c>
      <c r="AC433" s="137">
        <f>IF(AQ433="1",BI433,0)</f>
        <v>0</v>
      </c>
      <c r="AD433" s="137">
        <f>IF(AQ433="7",BH433,0)</f>
        <v>0</v>
      </c>
      <c r="AE433" s="137">
        <f>IF(AQ433="7",BI433,0)</f>
        <v>0</v>
      </c>
      <c r="AF433" s="137">
        <f>IF(AQ433="2",BH433,0)</f>
        <v>0</v>
      </c>
      <c r="AG433" s="137">
        <f>IF(AQ433="2",BI433,0)</f>
        <v>0</v>
      </c>
      <c r="AH433" s="137">
        <f>IF(AQ433="0",BJ433,0)</f>
        <v>0</v>
      </c>
      <c r="AI433" s="138" t="s">
        <v>1339</v>
      </c>
      <c r="AJ433" s="137">
        <f>IF(AN433=0,M433,0)</f>
        <v>0</v>
      </c>
      <c r="AK433" s="137">
        <f>IF(AN433=15,M433,0)</f>
        <v>0</v>
      </c>
      <c r="AL433" s="137">
        <f>IF(AN433=21,M433,0)</f>
        <v>0</v>
      </c>
      <c r="AN433" s="137">
        <v>21</v>
      </c>
      <c r="AO433" s="137">
        <f>L433*0.101615120525399</f>
        <v>0</v>
      </c>
      <c r="AP433" s="137">
        <f>L433*(1-0.101615120525399)</f>
        <v>0</v>
      </c>
      <c r="AQ433" s="139" t="s">
        <v>2</v>
      </c>
      <c r="AV433" s="137">
        <f>AW433+AX433</f>
        <v>0</v>
      </c>
      <c r="AW433" s="137">
        <f>K433*AO433</f>
        <v>0</v>
      </c>
      <c r="AX433" s="137">
        <f>K433*AP433</f>
        <v>0</v>
      </c>
      <c r="AY433" s="139" t="s">
        <v>1399</v>
      </c>
      <c r="AZ433" s="139" t="s">
        <v>1337</v>
      </c>
      <c r="BA433" s="138" t="s">
        <v>1336</v>
      </c>
      <c r="BC433" s="137">
        <f>AW433+AX433</f>
        <v>0</v>
      </c>
      <c r="BD433" s="137">
        <f>L433/(100-BE433)*100</f>
        <v>0</v>
      </c>
      <c r="BE433" s="137">
        <v>0</v>
      </c>
      <c r="BF433" s="137">
        <f>433</f>
        <v>433</v>
      </c>
      <c r="BH433" s="137">
        <f>K433*AO433</f>
        <v>0</v>
      </c>
      <c r="BI433" s="137">
        <f>K433*AP433</f>
        <v>0</v>
      </c>
      <c r="BJ433" s="137">
        <f>K433*L433</f>
        <v>0</v>
      </c>
      <c r="BK433" s="137" t="s">
        <v>442</v>
      </c>
      <c r="BL433" s="137">
        <v>96</v>
      </c>
    </row>
    <row r="434" spans="1:64">
      <c r="A434" s="130"/>
      <c r="D434" s="157" t="s">
        <v>1434</v>
      </c>
      <c r="I434" s="156"/>
      <c r="K434" s="155">
        <v>23.655000000000001</v>
      </c>
      <c r="O434" s="154"/>
      <c r="P434" s="130"/>
    </row>
    <row r="435" spans="1:64">
      <c r="A435" s="142" t="s">
        <v>130</v>
      </c>
      <c r="B435" s="141" t="s">
        <v>1339</v>
      </c>
      <c r="C435" s="141" t="s">
        <v>1433</v>
      </c>
      <c r="D435" s="243" t="s">
        <v>1432</v>
      </c>
      <c r="E435" s="243"/>
      <c r="F435" s="243"/>
      <c r="G435" s="243"/>
      <c r="H435" s="243"/>
      <c r="I435" s="243"/>
      <c r="J435" s="141" t="s">
        <v>691</v>
      </c>
      <c r="K435" s="137">
        <v>2.1825000000000001</v>
      </c>
      <c r="L435" s="203">
        <v>0</v>
      </c>
      <c r="M435" s="137">
        <f>K435*L435</f>
        <v>0</v>
      </c>
      <c r="N435" s="137">
        <v>1.17E-3</v>
      </c>
      <c r="O435" s="140" t="s">
        <v>1340</v>
      </c>
      <c r="P435" s="130"/>
      <c r="Z435" s="137">
        <f>IF(AQ435="5",BJ435,0)</f>
        <v>0</v>
      </c>
      <c r="AB435" s="137">
        <f>IF(AQ435="1",BH435,0)</f>
        <v>0</v>
      </c>
      <c r="AC435" s="137">
        <f>IF(AQ435="1",BI435,0)</f>
        <v>0</v>
      </c>
      <c r="AD435" s="137">
        <f>IF(AQ435="7",BH435,0)</f>
        <v>0</v>
      </c>
      <c r="AE435" s="137">
        <f>IF(AQ435="7",BI435,0)</f>
        <v>0</v>
      </c>
      <c r="AF435" s="137">
        <f>IF(AQ435="2",BH435,0)</f>
        <v>0</v>
      </c>
      <c r="AG435" s="137">
        <f>IF(AQ435="2",BI435,0)</f>
        <v>0</v>
      </c>
      <c r="AH435" s="137">
        <f>IF(AQ435="0",BJ435,0)</f>
        <v>0</v>
      </c>
      <c r="AI435" s="138" t="s">
        <v>1339</v>
      </c>
      <c r="AJ435" s="137">
        <f>IF(AN435=0,M435,0)</f>
        <v>0</v>
      </c>
      <c r="AK435" s="137">
        <f>IF(AN435=15,M435,0)</f>
        <v>0</v>
      </c>
      <c r="AL435" s="137">
        <f>IF(AN435=21,M435,0)</f>
        <v>0</v>
      </c>
      <c r="AN435" s="137">
        <v>21</v>
      </c>
      <c r="AO435" s="137">
        <f>L435*0.136658996616451</f>
        <v>0</v>
      </c>
      <c r="AP435" s="137">
        <f>L435*(1-0.136658996616451)</f>
        <v>0</v>
      </c>
      <c r="AQ435" s="139" t="s">
        <v>2</v>
      </c>
      <c r="AV435" s="137">
        <f>AW435+AX435</f>
        <v>0</v>
      </c>
      <c r="AW435" s="137">
        <f>K435*AO435</f>
        <v>0</v>
      </c>
      <c r="AX435" s="137">
        <f>K435*AP435</f>
        <v>0</v>
      </c>
      <c r="AY435" s="139" t="s">
        <v>1399</v>
      </c>
      <c r="AZ435" s="139" t="s">
        <v>1337</v>
      </c>
      <c r="BA435" s="138" t="s">
        <v>1336</v>
      </c>
      <c r="BC435" s="137">
        <f>AW435+AX435</f>
        <v>0</v>
      </c>
      <c r="BD435" s="137">
        <f>L435/(100-BE435)*100</f>
        <v>0</v>
      </c>
      <c r="BE435" s="137">
        <v>0</v>
      </c>
      <c r="BF435" s="137">
        <f>435</f>
        <v>435</v>
      </c>
      <c r="BH435" s="137">
        <f>K435*AO435</f>
        <v>0</v>
      </c>
      <c r="BI435" s="137">
        <f>K435*AP435</f>
        <v>0</v>
      </c>
      <c r="BJ435" s="137">
        <f>K435*L435</f>
        <v>0</v>
      </c>
      <c r="BK435" s="137" t="s">
        <v>442</v>
      </c>
      <c r="BL435" s="137">
        <v>96</v>
      </c>
    </row>
    <row r="436" spans="1:64">
      <c r="A436" s="130"/>
      <c r="D436" s="157" t="s">
        <v>1431</v>
      </c>
      <c r="I436" s="156"/>
      <c r="K436" s="155">
        <v>2.1825000000000001</v>
      </c>
      <c r="O436" s="154"/>
      <c r="P436" s="130"/>
    </row>
    <row r="437" spans="1:64">
      <c r="A437" s="142" t="s">
        <v>698</v>
      </c>
      <c r="B437" s="141" t="s">
        <v>1339</v>
      </c>
      <c r="C437" s="141" t="s">
        <v>1430</v>
      </c>
      <c r="D437" s="243" t="s">
        <v>1429</v>
      </c>
      <c r="E437" s="243"/>
      <c r="F437" s="243"/>
      <c r="G437" s="243"/>
      <c r="H437" s="243"/>
      <c r="I437" s="243"/>
      <c r="J437" s="141" t="s">
        <v>691</v>
      </c>
      <c r="K437" s="137">
        <v>0.72250000000000003</v>
      </c>
      <c r="L437" s="203">
        <v>0</v>
      </c>
      <c r="M437" s="137">
        <f>K437*L437</f>
        <v>0</v>
      </c>
      <c r="N437" s="137">
        <v>2.1900000000000001E-3</v>
      </c>
      <c r="O437" s="140" t="s">
        <v>1340</v>
      </c>
      <c r="P437" s="130"/>
      <c r="Z437" s="137">
        <f>IF(AQ437="5",BJ437,0)</f>
        <v>0</v>
      </c>
      <c r="AB437" s="137">
        <f>IF(AQ437="1",BH437,0)</f>
        <v>0</v>
      </c>
      <c r="AC437" s="137">
        <f>IF(AQ437="1",BI437,0)</f>
        <v>0</v>
      </c>
      <c r="AD437" s="137">
        <f>IF(AQ437="7",BH437,0)</f>
        <v>0</v>
      </c>
      <c r="AE437" s="137">
        <f>IF(AQ437="7",BI437,0)</f>
        <v>0</v>
      </c>
      <c r="AF437" s="137">
        <f>IF(AQ437="2",BH437,0)</f>
        <v>0</v>
      </c>
      <c r="AG437" s="137">
        <f>IF(AQ437="2",BI437,0)</f>
        <v>0</v>
      </c>
      <c r="AH437" s="137">
        <f>IF(AQ437="0",BJ437,0)</f>
        <v>0</v>
      </c>
      <c r="AI437" s="138" t="s">
        <v>1339</v>
      </c>
      <c r="AJ437" s="137">
        <f>IF(AN437=0,M437,0)</f>
        <v>0</v>
      </c>
      <c r="AK437" s="137">
        <f>IF(AN437=15,M437,0)</f>
        <v>0</v>
      </c>
      <c r="AL437" s="137">
        <f>IF(AN437=21,M437,0)</f>
        <v>0</v>
      </c>
      <c r="AN437" s="137">
        <v>21</v>
      </c>
      <c r="AO437" s="137">
        <f>L437*0.212319987898346</f>
        <v>0</v>
      </c>
      <c r="AP437" s="137">
        <f>L437*(1-0.212319987898346)</f>
        <v>0</v>
      </c>
      <c r="AQ437" s="139" t="s">
        <v>2</v>
      </c>
      <c r="AV437" s="137">
        <f>AW437+AX437</f>
        <v>0</v>
      </c>
      <c r="AW437" s="137">
        <f>K437*AO437</f>
        <v>0</v>
      </c>
      <c r="AX437" s="137">
        <f>K437*AP437</f>
        <v>0</v>
      </c>
      <c r="AY437" s="139" t="s">
        <v>1399</v>
      </c>
      <c r="AZ437" s="139" t="s">
        <v>1337</v>
      </c>
      <c r="BA437" s="138" t="s">
        <v>1336</v>
      </c>
      <c r="BC437" s="137">
        <f>AW437+AX437</f>
        <v>0</v>
      </c>
      <c r="BD437" s="137">
        <f>L437/(100-BE437)*100</f>
        <v>0</v>
      </c>
      <c r="BE437" s="137">
        <v>0</v>
      </c>
      <c r="BF437" s="137">
        <f>437</f>
        <v>437</v>
      </c>
      <c r="BH437" s="137">
        <f>K437*AO437</f>
        <v>0</v>
      </c>
      <c r="BI437" s="137">
        <f>K437*AP437</f>
        <v>0</v>
      </c>
      <c r="BJ437" s="137">
        <f>K437*L437</f>
        <v>0</v>
      </c>
      <c r="BK437" s="137" t="s">
        <v>442</v>
      </c>
      <c r="BL437" s="137">
        <v>96</v>
      </c>
    </row>
    <row r="438" spans="1:64">
      <c r="A438" s="130"/>
      <c r="D438" s="157" t="s">
        <v>1428</v>
      </c>
      <c r="I438" s="156"/>
      <c r="K438" s="155">
        <v>0.72250000000000003</v>
      </c>
      <c r="O438" s="154"/>
      <c r="P438" s="130"/>
    </row>
    <row r="439" spans="1:64">
      <c r="A439" s="142" t="s">
        <v>126</v>
      </c>
      <c r="B439" s="141" t="s">
        <v>1339</v>
      </c>
      <c r="C439" s="141" t="s">
        <v>1427</v>
      </c>
      <c r="D439" s="243" t="s">
        <v>1426</v>
      </c>
      <c r="E439" s="243"/>
      <c r="F439" s="243"/>
      <c r="G439" s="243"/>
      <c r="H439" s="243"/>
      <c r="I439" s="243"/>
      <c r="J439" s="141" t="s">
        <v>691</v>
      </c>
      <c r="K439" s="137">
        <v>8.3160000000000007</v>
      </c>
      <c r="L439" s="203">
        <v>0</v>
      </c>
      <c r="M439" s="137">
        <f>K439*L439</f>
        <v>0</v>
      </c>
      <c r="N439" s="137">
        <v>0</v>
      </c>
      <c r="O439" s="140" t="s">
        <v>1340</v>
      </c>
      <c r="P439" s="130"/>
      <c r="Z439" s="137">
        <f>IF(AQ439="5",BJ439,0)</f>
        <v>0</v>
      </c>
      <c r="AB439" s="137">
        <f>IF(AQ439="1",BH439,0)</f>
        <v>0</v>
      </c>
      <c r="AC439" s="137">
        <f>IF(AQ439="1",BI439,0)</f>
        <v>0</v>
      </c>
      <c r="AD439" s="137">
        <f>IF(AQ439="7",BH439,0)</f>
        <v>0</v>
      </c>
      <c r="AE439" s="137">
        <f>IF(AQ439="7",BI439,0)</f>
        <v>0</v>
      </c>
      <c r="AF439" s="137">
        <f>IF(AQ439="2",BH439,0)</f>
        <v>0</v>
      </c>
      <c r="AG439" s="137">
        <f>IF(AQ439="2",BI439,0)</f>
        <v>0</v>
      </c>
      <c r="AH439" s="137">
        <f>IF(AQ439="0",BJ439,0)</f>
        <v>0</v>
      </c>
      <c r="AI439" s="138" t="s">
        <v>1339</v>
      </c>
      <c r="AJ439" s="137">
        <f>IF(AN439=0,M439,0)</f>
        <v>0</v>
      </c>
      <c r="AK439" s="137">
        <f>IF(AN439=15,M439,0)</f>
        <v>0</v>
      </c>
      <c r="AL439" s="137">
        <f>IF(AN439=21,M439,0)</f>
        <v>0</v>
      </c>
      <c r="AN439" s="137">
        <v>21</v>
      </c>
      <c r="AO439" s="137">
        <f>L439*0</f>
        <v>0</v>
      </c>
      <c r="AP439" s="137">
        <f>L439*(1-0)</f>
        <v>0</v>
      </c>
      <c r="AQ439" s="139" t="s">
        <v>2</v>
      </c>
      <c r="AV439" s="137">
        <f>AW439+AX439</f>
        <v>0</v>
      </c>
      <c r="AW439" s="137">
        <f>K439*AO439</f>
        <v>0</v>
      </c>
      <c r="AX439" s="137">
        <f>K439*AP439</f>
        <v>0</v>
      </c>
      <c r="AY439" s="139" t="s">
        <v>1399</v>
      </c>
      <c r="AZ439" s="139" t="s">
        <v>1337</v>
      </c>
      <c r="BA439" s="138" t="s">
        <v>1336</v>
      </c>
      <c r="BC439" s="137">
        <f>AW439+AX439</f>
        <v>0</v>
      </c>
      <c r="BD439" s="137">
        <f>L439/(100-BE439)*100</f>
        <v>0</v>
      </c>
      <c r="BE439" s="137">
        <v>0</v>
      </c>
      <c r="BF439" s="137">
        <f>439</f>
        <v>439</v>
      </c>
      <c r="BH439" s="137">
        <f>K439*AO439</f>
        <v>0</v>
      </c>
      <c r="BI439" s="137">
        <f>K439*AP439</f>
        <v>0</v>
      </c>
      <c r="BJ439" s="137">
        <f>K439*L439</f>
        <v>0</v>
      </c>
      <c r="BK439" s="137" t="s">
        <v>442</v>
      </c>
      <c r="BL439" s="137">
        <v>96</v>
      </c>
    </row>
    <row r="440" spans="1:64">
      <c r="A440" s="130"/>
      <c r="D440" s="157" t="s">
        <v>1425</v>
      </c>
      <c r="I440" s="156"/>
      <c r="K440" s="155">
        <v>8.3160000000000007</v>
      </c>
      <c r="O440" s="154"/>
      <c r="P440" s="130"/>
    </row>
    <row r="441" spans="1:64">
      <c r="A441" s="142" t="s">
        <v>688</v>
      </c>
      <c r="B441" s="141" t="s">
        <v>1339</v>
      </c>
      <c r="C441" s="141" t="s">
        <v>1424</v>
      </c>
      <c r="D441" s="243" t="s">
        <v>1423</v>
      </c>
      <c r="E441" s="243"/>
      <c r="F441" s="243"/>
      <c r="G441" s="243"/>
      <c r="H441" s="243"/>
      <c r="I441" s="243"/>
      <c r="J441" s="141" t="s">
        <v>1261</v>
      </c>
      <c r="K441" s="137">
        <v>0.22500000000000001</v>
      </c>
      <c r="L441" s="203">
        <v>0</v>
      </c>
      <c r="M441" s="137">
        <f>K441*L441</f>
        <v>0</v>
      </c>
      <c r="N441" s="137">
        <v>0</v>
      </c>
      <c r="O441" s="140" t="s">
        <v>1340</v>
      </c>
      <c r="P441" s="130"/>
      <c r="Z441" s="137">
        <f>IF(AQ441="5",BJ441,0)</f>
        <v>0</v>
      </c>
      <c r="AB441" s="137">
        <f>IF(AQ441="1",BH441,0)</f>
        <v>0</v>
      </c>
      <c r="AC441" s="137">
        <f>IF(AQ441="1",BI441,0)</f>
        <v>0</v>
      </c>
      <c r="AD441" s="137">
        <f>IF(AQ441="7",BH441,0)</f>
        <v>0</v>
      </c>
      <c r="AE441" s="137">
        <f>IF(AQ441="7",BI441,0)</f>
        <v>0</v>
      </c>
      <c r="AF441" s="137">
        <f>IF(AQ441="2",BH441,0)</f>
        <v>0</v>
      </c>
      <c r="AG441" s="137">
        <f>IF(AQ441="2",BI441,0)</f>
        <v>0</v>
      </c>
      <c r="AH441" s="137">
        <f>IF(AQ441="0",BJ441,0)</f>
        <v>0</v>
      </c>
      <c r="AI441" s="138" t="s">
        <v>1339</v>
      </c>
      <c r="AJ441" s="137">
        <f>IF(AN441=0,M441,0)</f>
        <v>0</v>
      </c>
      <c r="AK441" s="137">
        <f>IF(AN441=15,M441,0)</f>
        <v>0</v>
      </c>
      <c r="AL441" s="137">
        <f>IF(AN441=21,M441,0)</f>
        <v>0</v>
      </c>
      <c r="AN441" s="137">
        <v>21</v>
      </c>
      <c r="AO441" s="137">
        <f>L441*0</f>
        <v>0</v>
      </c>
      <c r="AP441" s="137">
        <f>L441*(1-0)</f>
        <v>0</v>
      </c>
      <c r="AQ441" s="139" t="s">
        <v>2</v>
      </c>
      <c r="AV441" s="137">
        <f>AW441+AX441</f>
        <v>0</v>
      </c>
      <c r="AW441" s="137">
        <f>K441*AO441</f>
        <v>0</v>
      </c>
      <c r="AX441" s="137">
        <f>K441*AP441</f>
        <v>0</v>
      </c>
      <c r="AY441" s="139" t="s">
        <v>1399</v>
      </c>
      <c r="AZ441" s="139" t="s">
        <v>1337</v>
      </c>
      <c r="BA441" s="138" t="s">
        <v>1336</v>
      </c>
      <c r="BC441" s="137">
        <f>AW441+AX441</f>
        <v>0</v>
      </c>
      <c r="BD441" s="137">
        <f>L441/(100-BE441)*100</f>
        <v>0</v>
      </c>
      <c r="BE441" s="137">
        <v>0</v>
      </c>
      <c r="BF441" s="137">
        <f>441</f>
        <v>441</v>
      </c>
      <c r="BH441" s="137">
        <f>K441*AO441</f>
        <v>0</v>
      </c>
      <c r="BI441" s="137">
        <f>K441*AP441</f>
        <v>0</v>
      </c>
      <c r="BJ441" s="137">
        <f>K441*L441</f>
        <v>0</v>
      </c>
      <c r="BK441" s="137" t="s">
        <v>442</v>
      </c>
      <c r="BL441" s="137">
        <v>96</v>
      </c>
    </row>
    <row r="442" spans="1:64">
      <c r="A442" s="130"/>
      <c r="D442" s="157" t="s">
        <v>1422</v>
      </c>
      <c r="I442" s="156"/>
      <c r="K442" s="155">
        <v>0.22500000000000001</v>
      </c>
      <c r="O442" s="154"/>
      <c r="P442" s="130"/>
    </row>
    <row r="443" spans="1:64">
      <c r="A443" s="142" t="s">
        <v>122</v>
      </c>
      <c r="B443" s="141" t="s">
        <v>1339</v>
      </c>
      <c r="C443" s="141" t="s">
        <v>1421</v>
      </c>
      <c r="D443" s="243" t="s">
        <v>1420</v>
      </c>
      <c r="E443" s="243"/>
      <c r="F443" s="243"/>
      <c r="G443" s="243"/>
      <c r="H443" s="243"/>
      <c r="I443" s="243"/>
      <c r="J443" s="141" t="s">
        <v>1261</v>
      </c>
      <c r="K443" s="137">
        <v>0.13500000000000001</v>
      </c>
      <c r="L443" s="203">
        <v>0</v>
      </c>
      <c r="M443" s="137">
        <f>K443*L443</f>
        <v>0</v>
      </c>
      <c r="N443" s="137">
        <v>0</v>
      </c>
      <c r="O443" s="140" t="s">
        <v>1340</v>
      </c>
      <c r="P443" s="130"/>
      <c r="Z443" s="137">
        <f>IF(AQ443="5",BJ443,0)</f>
        <v>0</v>
      </c>
      <c r="AB443" s="137">
        <f>IF(AQ443="1",BH443,0)</f>
        <v>0</v>
      </c>
      <c r="AC443" s="137">
        <f>IF(AQ443="1",BI443,0)</f>
        <v>0</v>
      </c>
      <c r="AD443" s="137">
        <f>IF(AQ443="7",BH443,0)</f>
        <v>0</v>
      </c>
      <c r="AE443" s="137">
        <f>IF(AQ443="7",BI443,0)</f>
        <v>0</v>
      </c>
      <c r="AF443" s="137">
        <f>IF(AQ443="2",BH443,0)</f>
        <v>0</v>
      </c>
      <c r="AG443" s="137">
        <f>IF(AQ443="2",BI443,0)</f>
        <v>0</v>
      </c>
      <c r="AH443" s="137">
        <f>IF(AQ443="0",BJ443,0)</f>
        <v>0</v>
      </c>
      <c r="AI443" s="138" t="s">
        <v>1339</v>
      </c>
      <c r="AJ443" s="137">
        <f>IF(AN443=0,M443,0)</f>
        <v>0</v>
      </c>
      <c r="AK443" s="137">
        <f>IF(AN443=15,M443,0)</f>
        <v>0</v>
      </c>
      <c r="AL443" s="137">
        <f>IF(AN443=21,M443,0)</f>
        <v>0</v>
      </c>
      <c r="AN443" s="137">
        <v>21</v>
      </c>
      <c r="AO443" s="137">
        <f>L443*0</f>
        <v>0</v>
      </c>
      <c r="AP443" s="137">
        <f>L443*(1-0)</f>
        <v>0</v>
      </c>
      <c r="AQ443" s="139" t="s">
        <v>2</v>
      </c>
      <c r="AV443" s="137">
        <f>AW443+AX443</f>
        <v>0</v>
      </c>
      <c r="AW443" s="137">
        <f>K443*AO443</f>
        <v>0</v>
      </c>
      <c r="AX443" s="137">
        <f>K443*AP443</f>
        <v>0</v>
      </c>
      <c r="AY443" s="139" t="s">
        <v>1399</v>
      </c>
      <c r="AZ443" s="139" t="s">
        <v>1337</v>
      </c>
      <c r="BA443" s="138" t="s">
        <v>1336</v>
      </c>
      <c r="BC443" s="137">
        <f>AW443+AX443</f>
        <v>0</v>
      </c>
      <c r="BD443" s="137">
        <f>L443/(100-BE443)*100</f>
        <v>0</v>
      </c>
      <c r="BE443" s="137">
        <v>0</v>
      </c>
      <c r="BF443" s="137">
        <f>443</f>
        <v>443</v>
      </c>
      <c r="BH443" s="137">
        <f>K443*AO443</f>
        <v>0</v>
      </c>
      <c r="BI443" s="137">
        <f>K443*AP443</f>
        <v>0</v>
      </c>
      <c r="BJ443" s="137">
        <f>K443*L443</f>
        <v>0</v>
      </c>
      <c r="BK443" s="137" t="s">
        <v>442</v>
      </c>
      <c r="BL443" s="137">
        <v>96</v>
      </c>
    </row>
    <row r="444" spans="1:64">
      <c r="A444" s="130"/>
      <c r="D444" s="157" t="s">
        <v>1419</v>
      </c>
      <c r="I444" s="156"/>
      <c r="K444" s="155">
        <v>0.13500000000000001</v>
      </c>
      <c r="O444" s="154"/>
      <c r="P444" s="130"/>
    </row>
    <row r="445" spans="1:64">
      <c r="A445" s="142" t="s">
        <v>679</v>
      </c>
      <c r="B445" s="141" t="s">
        <v>1339</v>
      </c>
      <c r="C445" s="141" t="s">
        <v>1418</v>
      </c>
      <c r="D445" s="243" t="s">
        <v>1417</v>
      </c>
      <c r="E445" s="243"/>
      <c r="F445" s="243"/>
      <c r="G445" s="243"/>
      <c r="H445" s="243"/>
      <c r="I445" s="243"/>
      <c r="J445" s="141" t="s">
        <v>691</v>
      </c>
      <c r="K445" s="137">
        <v>8.0299999999999994</v>
      </c>
      <c r="L445" s="203">
        <v>0</v>
      </c>
      <c r="M445" s="137">
        <f>K445*L445</f>
        <v>0</v>
      </c>
      <c r="N445" s="137">
        <v>3.3E-4</v>
      </c>
      <c r="O445" s="140" t="s">
        <v>1340</v>
      </c>
      <c r="P445" s="130"/>
      <c r="Z445" s="137">
        <f>IF(AQ445="5",BJ445,0)</f>
        <v>0</v>
      </c>
      <c r="AB445" s="137">
        <f>IF(AQ445="1",BH445,0)</f>
        <v>0</v>
      </c>
      <c r="AC445" s="137">
        <f>IF(AQ445="1",BI445,0)</f>
        <v>0</v>
      </c>
      <c r="AD445" s="137">
        <f>IF(AQ445="7",BH445,0)</f>
        <v>0</v>
      </c>
      <c r="AE445" s="137">
        <f>IF(AQ445="7",BI445,0)</f>
        <v>0</v>
      </c>
      <c r="AF445" s="137">
        <f>IF(AQ445="2",BH445,0)</f>
        <v>0</v>
      </c>
      <c r="AG445" s="137">
        <f>IF(AQ445="2",BI445,0)</f>
        <v>0</v>
      </c>
      <c r="AH445" s="137">
        <f>IF(AQ445="0",BJ445,0)</f>
        <v>0</v>
      </c>
      <c r="AI445" s="138" t="s">
        <v>1339</v>
      </c>
      <c r="AJ445" s="137">
        <f>IF(AN445=0,M445,0)</f>
        <v>0</v>
      </c>
      <c r="AK445" s="137">
        <f>IF(AN445=15,M445,0)</f>
        <v>0</v>
      </c>
      <c r="AL445" s="137">
        <f>IF(AN445=21,M445,0)</f>
        <v>0</v>
      </c>
      <c r="AN445" s="137">
        <v>21</v>
      </c>
      <c r="AO445" s="137">
        <f>L445*0.058728852385276</f>
        <v>0</v>
      </c>
      <c r="AP445" s="137">
        <f>L445*(1-0.058728852385276)</f>
        <v>0</v>
      </c>
      <c r="AQ445" s="139" t="s">
        <v>2</v>
      </c>
      <c r="AV445" s="137">
        <f>AW445+AX445</f>
        <v>0</v>
      </c>
      <c r="AW445" s="137">
        <f>K445*AO445</f>
        <v>0</v>
      </c>
      <c r="AX445" s="137">
        <f>K445*AP445</f>
        <v>0</v>
      </c>
      <c r="AY445" s="139" t="s">
        <v>1399</v>
      </c>
      <c r="AZ445" s="139" t="s">
        <v>1337</v>
      </c>
      <c r="BA445" s="138" t="s">
        <v>1336</v>
      </c>
      <c r="BC445" s="137">
        <f>AW445+AX445</f>
        <v>0</v>
      </c>
      <c r="BD445" s="137">
        <f>L445/(100-BE445)*100</f>
        <v>0</v>
      </c>
      <c r="BE445" s="137">
        <v>0</v>
      </c>
      <c r="BF445" s="137">
        <f>445</f>
        <v>445</v>
      </c>
      <c r="BH445" s="137">
        <f>K445*AO445</f>
        <v>0</v>
      </c>
      <c r="BI445" s="137">
        <f>K445*AP445</f>
        <v>0</v>
      </c>
      <c r="BJ445" s="137">
        <f>K445*L445</f>
        <v>0</v>
      </c>
      <c r="BK445" s="137" t="s">
        <v>442</v>
      </c>
      <c r="BL445" s="137">
        <v>96</v>
      </c>
    </row>
    <row r="446" spans="1:64" ht="14.65" customHeight="1">
      <c r="A446" s="130"/>
      <c r="D446" s="251" t="s">
        <v>1416</v>
      </c>
      <c r="E446" s="251"/>
      <c r="F446" s="251"/>
      <c r="G446" s="251"/>
      <c r="H446" s="251"/>
      <c r="I446" s="251"/>
      <c r="J446" s="251"/>
      <c r="K446" s="251"/>
      <c r="L446" s="251"/>
      <c r="M446" s="251"/>
      <c r="N446" s="251"/>
      <c r="O446" s="251"/>
      <c r="P446" s="130"/>
    </row>
    <row r="447" spans="1:64">
      <c r="A447" s="130"/>
      <c r="D447" s="157" t="s">
        <v>1415</v>
      </c>
      <c r="I447" s="156"/>
      <c r="K447" s="155">
        <v>1.21</v>
      </c>
      <c r="O447" s="154"/>
      <c r="P447" s="130"/>
    </row>
    <row r="448" spans="1:64">
      <c r="A448" s="130"/>
      <c r="D448" s="157" t="s">
        <v>1414</v>
      </c>
      <c r="I448" s="156"/>
      <c r="K448" s="155">
        <v>2.9</v>
      </c>
      <c r="O448" s="154"/>
      <c r="P448" s="130"/>
    </row>
    <row r="449" spans="1:64">
      <c r="A449" s="130"/>
      <c r="D449" s="157" t="s">
        <v>1413</v>
      </c>
      <c r="I449" s="156"/>
      <c r="K449" s="155">
        <v>3.92</v>
      </c>
      <c r="O449" s="154"/>
      <c r="P449" s="130"/>
    </row>
    <row r="450" spans="1:64">
      <c r="A450" s="142" t="s">
        <v>118</v>
      </c>
      <c r="B450" s="141" t="s">
        <v>1339</v>
      </c>
      <c r="C450" s="141" t="s">
        <v>1412</v>
      </c>
      <c r="D450" s="243" t="s">
        <v>1411</v>
      </c>
      <c r="E450" s="243"/>
      <c r="F450" s="243"/>
      <c r="G450" s="243"/>
      <c r="H450" s="243"/>
      <c r="I450" s="243"/>
      <c r="J450" s="141" t="s">
        <v>691</v>
      </c>
      <c r="K450" s="137">
        <v>0.64</v>
      </c>
      <c r="L450" s="203">
        <v>0</v>
      </c>
      <c r="M450" s="137">
        <f>K450*L450</f>
        <v>0</v>
      </c>
      <c r="N450" s="137">
        <v>0</v>
      </c>
      <c r="O450" s="140" t="s">
        <v>1340</v>
      </c>
      <c r="P450" s="130"/>
      <c r="Z450" s="137">
        <f>IF(AQ450="5",BJ450,0)</f>
        <v>0</v>
      </c>
      <c r="AB450" s="137">
        <f>IF(AQ450="1",BH450,0)</f>
        <v>0</v>
      </c>
      <c r="AC450" s="137">
        <f>IF(AQ450="1",BI450,0)</f>
        <v>0</v>
      </c>
      <c r="AD450" s="137">
        <f>IF(AQ450="7",BH450,0)</f>
        <v>0</v>
      </c>
      <c r="AE450" s="137">
        <f>IF(AQ450="7",BI450,0)</f>
        <v>0</v>
      </c>
      <c r="AF450" s="137">
        <f>IF(AQ450="2",BH450,0)</f>
        <v>0</v>
      </c>
      <c r="AG450" s="137">
        <f>IF(AQ450="2",BI450,0)</f>
        <v>0</v>
      </c>
      <c r="AH450" s="137">
        <f>IF(AQ450="0",BJ450,0)</f>
        <v>0</v>
      </c>
      <c r="AI450" s="138" t="s">
        <v>1339</v>
      </c>
      <c r="AJ450" s="137">
        <f>IF(AN450=0,M450,0)</f>
        <v>0</v>
      </c>
      <c r="AK450" s="137">
        <f>IF(AN450=15,M450,0)</f>
        <v>0</v>
      </c>
      <c r="AL450" s="137">
        <f>IF(AN450=21,M450,0)</f>
        <v>0</v>
      </c>
      <c r="AN450" s="137">
        <v>21</v>
      </c>
      <c r="AO450" s="137">
        <f>L450*0</f>
        <v>0</v>
      </c>
      <c r="AP450" s="137">
        <f>L450*(1-0)</f>
        <v>0</v>
      </c>
      <c r="AQ450" s="139" t="s">
        <v>2</v>
      </c>
      <c r="AV450" s="137">
        <f>AW450+AX450</f>
        <v>0</v>
      </c>
      <c r="AW450" s="137">
        <f>K450*AO450</f>
        <v>0</v>
      </c>
      <c r="AX450" s="137">
        <f>K450*AP450</f>
        <v>0</v>
      </c>
      <c r="AY450" s="139" t="s">
        <v>1399</v>
      </c>
      <c r="AZ450" s="139" t="s">
        <v>1337</v>
      </c>
      <c r="BA450" s="138" t="s">
        <v>1336</v>
      </c>
      <c r="BC450" s="137">
        <f>AW450+AX450</f>
        <v>0</v>
      </c>
      <c r="BD450" s="137">
        <f>L450/(100-BE450)*100</f>
        <v>0</v>
      </c>
      <c r="BE450" s="137">
        <v>0</v>
      </c>
      <c r="BF450" s="137">
        <f>450</f>
        <v>450</v>
      </c>
      <c r="BH450" s="137">
        <f>K450*AO450</f>
        <v>0</v>
      </c>
      <c r="BI450" s="137">
        <f>K450*AP450</f>
        <v>0</v>
      </c>
      <c r="BJ450" s="137">
        <f>K450*L450</f>
        <v>0</v>
      </c>
      <c r="BK450" s="137" t="s">
        <v>442</v>
      </c>
      <c r="BL450" s="137">
        <v>96</v>
      </c>
    </row>
    <row r="451" spans="1:64">
      <c r="A451" s="130"/>
      <c r="D451" s="157" t="s">
        <v>1410</v>
      </c>
      <c r="I451" s="156"/>
      <c r="K451" s="155">
        <v>0.64</v>
      </c>
      <c r="O451" s="154"/>
      <c r="P451" s="130"/>
    </row>
    <row r="452" spans="1:64">
      <c r="A452" s="142" t="s">
        <v>670</v>
      </c>
      <c r="B452" s="141" t="s">
        <v>1339</v>
      </c>
      <c r="C452" s="141" t="s">
        <v>1409</v>
      </c>
      <c r="D452" s="243" t="s">
        <v>1408</v>
      </c>
      <c r="E452" s="243"/>
      <c r="F452" s="243"/>
      <c r="G452" s="243"/>
      <c r="H452" s="243"/>
      <c r="I452" s="243"/>
      <c r="J452" s="141" t="s">
        <v>1261</v>
      </c>
      <c r="K452" s="137">
        <v>9.6000000000000002E-2</v>
      </c>
      <c r="L452" s="203">
        <v>0</v>
      </c>
      <c r="M452" s="137">
        <f>K452*L452</f>
        <v>0</v>
      </c>
      <c r="N452" s="137">
        <v>0</v>
      </c>
      <c r="O452" s="140" t="s">
        <v>1340</v>
      </c>
      <c r="P452" s="130"/>
      <c r="Z452" s="137">
        <f>IF(AQ452="5",BJ452,0)</f>
        <v>0</v>
      </c>
      <c r="AB452" s="137">
        <f>IF(AQ452="1",BH452,0)</f>
        <v>0</v>
      </c>
      <c r="AC452" s="137">
        <f>IF(AQ452="1",BI452,0)</f>
        <v>0</v>
      </c>
      <c r="AD452" s="137">
        <f>IF(AQ452="7",BH452,0)</f>
        <v>0</v>
      </c>
      <c r="AE452" s="137">
        <f>IF(AQ452="7",BI452,0)</f>
        <v>0</v>
      </c>
      <c r="AF452" s="137">
        <f>IF(AQ452="2",BH452,0)</f>
        <v>0</v>
      </c>
      <c r="AG452" s="137">
        <f>IF(AQ452="2",BI452,0)</f>
        <v>0</v>
      </c>
      <c r="AH452" s="137">
        <f>IF(AQ452="0",BJ452,0)</f>
        <v>0</v>
      </c>
      <c r="AI452" s="138" t="s">
        <v>1339</v>
      </c>
      <c r="AJ452" s="137">
        <f>IF(AN452=0,M452,0)</f>
        <v>0</v>
      </c>
      <c r="AK452" s="137">
        <f>IF(AN452=15,M452,0)</f>
        <v>0</v>
      </c>
      <c r="AL452" s="137">
        <f>IF(AN452=21,M452,0)</f>
        <v>0</v>
      </c>
      <c r="AN452" s="137">
        <v>21</v>
      </c>
      <c r="AO452" s="137">
        <f>L452*0</f>
        <v>0</v>
      </c>
      <c r="AP452" s="137">
        <f>L452*(1-0)</f>
        <v>0</v>
      </c>
      <c r="AQ452" s="139" t="s">
        <v>2</v>
      </c>
      <c r="AV452" s="137">
        <f>AW452+AX452</f>
        <v>0</v>
      </c>
      <c r="AW452" s="137">
        <f>K452*AO452</f>
        <v>0</v>
      </c>
      <c r="AX452" s="137">
        <f>K452*AP452</f>
        <v>0</v>
      </c>
      <c r="AY452" s="139" t="s">
        <v>1399</v>
      </c>
      <c r="AZ452" s="139" t="s">
        <v>1337</v>
      </c>
      <c r="BA452" s="138" t="s">
        <v>1336</v>
      </c>
      <c r="BC452" s="137">
        <f>AW452+AX452</f>
        <v>0</v>
      </c>
      <c r="BD452" s="137">
        <f>L452/(100-BE452)*100</f>
        <v>0</v>
      </c>
      <c r="BE452" s="137">
        <v>0</v>
      </c>
      <c r="BF452" s="137">
        <f>452</f>
        <v>452</v>
      </c>
      <c r="BH452" s="137">
        <f>K452*AO452</f>
        <v>0</v>
      </c>
      <c r="BI452" s="137">
        <f>K452*AP452</f>
        <v>0</v>
      </c>
      <c r="BJ452" s="137">
        <f>K452*L452</f>
        <v>0</v>
      </c>
      <c r="BK452" s="137" t="s">
        <v>442</v>
      </c>
      <c r="BL452" s="137">
        <v>96</v>
      </c>
    </row>
    <row r="453" spans="1:64">
      <c r="A453" s="130"/>
      <c r="D453" s="157" t="s">
        <v>1407</v>
      </c>
      <c r="I453" s="156"/>
      <c r="K453" s="155">
        <v>9.6000000000000002E-2</v>
      </c>
      <c r="O453" s="154"/>
      <c r="P453" s="130"/>
    </row>
    <row r="454" spans="1:64">
      <c r="A454" s="142" t="s">
        <v>112</v>
      </c>
      <c r="B454" s="141" t="s">
        <v>1339</v>
      </c>
      <c r="C454" s="141" t="s">
        <v>1406</v>
      </c>
      <c r="D454" s="243" t="s">
        <v>1405</v>
      </c>
      <c r="E454" s="243"/>
      <c r="F454" s="243"/>
      <c r="G454" s="243"/>
      <c r="H454" s="243"/>
      <c r="I454" s="243"/>
      <c r="J454" s="141" t="s">
        <v>722</v>
      </c>
      <c r="K454" s="137">
        <v>3</v>
      </c>
      <c r="L454" s="203">
        <v>0</v>
      </c>
      <c r="M454" s="137">
        <f>K454*L454</f>
        <v>0</v>
      </c>
      <c r="N454" s="137">
        <v>0</v>
      </c>
      <c r="O454" s="140" t="s">
        <v>1340</v>
      </c>
      <c r="P454" s="130"/>
      <c r="Z454" s="137">
        <f>IF(AQ454="5",BJ454,0)</f>
        <v>0</v>
      </c>
      <c r="AB454" s="137">
        <f>IF(AQ454="1",BH454,0)</f>
        <v>0</v>
      </c>
      <c r="AC454" s="137">
        <f>IF(AQ454="1",BI454,0)</f>
        <v>0</v>
      </c>
      <c r="AD454" s="137">
        <f>IF(AQ454="7",BH454,0)</f>
        <v>0</v>
      </c>
      <c r="AE454" s="137">
        <f>IF(AQ454="7",BI454,0)</f>
        <v>0</v>
      </c>
      <c r="AF454" s="137">
        <f>IF(AQ454="2",BH454,0)</f>
        <v>0</v>
      </c>
      <c r="AG454" s="137">
        <f>IF(AQ454="2",BI454,0)</f>
        <v>0</v>
      </c>
      <c r="AH454" s="137">
        <f>IF(AQ454="0",BJ454,0)</f>
        <v>0</v>
      </c>
      <c r="AI454" s="138" t="s">
        <v>1339</v>
      </c>
      <c r="AJ454" s="137">
        <f>IF(AN454=0,M454,0)</f>
        <v>0</v>
      </c>
      <c r="AK454" s="137">
        <f>IF(AN454=15,M454,0)</f>
        <v>0</v>
      </c>
      <c r="AL454" s="137">
        <f>IF(AN454=21,M454,0)</f>
        <v>0</v>
      </c>
      <c r="AN454" s="137">
        <v>21</v>
      </c>
      <c r="AO454" s="137">
        <f>L454*0</f>
        <v>0</v>
      </c>
      <c r="AP454" s="137">
        <f>L454*(1-0)</f>
        <v>0</v>
      </c>
      <c r="AQ454" s="139" t="s">
        <v>2</v>
      </c>
      <c r="AV454" s="137">
        <f>AW454+AX454</f>
        <v>0</v>
      </c>
      <c r="AW454" s="137">
        <f>K454*AO454</f>
        <v>0</v>
      </c>
      <c r="AX454" s="137">
        <f>K454*AP454</f>
        <v>0</v>
      </c>
      <c r="AY454" s="139" t="s">
        <v>1399</v>
      </c>
      <c r="AZ454" s="139" t="s">
        <v>1337</v>
      </c>
      <c r="BA454" s="138" t="s">
        <v>1336</v>
      </c>
      <c r="BC454" s="137">
        <f>AW454+AX454</f>
        <v>0</v>
      </c>
      <c r="BD454" s="137">
        <f>L454/(100-BE454)*100</f>
        <v>0</v>
      </c>
      <c r="BE454" s="137">
        <v>0</v>
      </c>
      <c r="BF454" s="137">
        <f>454</f>
        <v>454</v>
      </c>
      <c r="BH454" s="137">
        <f>K454*AO454</f>
        <v>0</v>
      </c>
      <c r="BI454" s="137">
        <f>K454*AP454</f>
        <v>0</v>
      </c>
      <c r="BJ454" s="137">
        <f>K454*L454</f>
        <v>0</v>
      </c>
      <c r="BK454" s="137" t="s">
        <v>442</v>
      </c>
      <c r="BL454" s="137">
        <v>96</v>
      </c>
    </row>
    <row r="455" spans="1:64">
      <c r="A455" s="130"/>
      <c r="D455" s="157" t="s">
        <v>362</v>
      </c>
      <c r="I455" s="156"/>
      <c r="K455" s="155">
        <v>3</v>
      </c>
      <c r="O455" s="154"/>
      <c r="P455" s="130"/>
    </row>
    <row r="456" spans="1:64">
      <c r="A456" s="142" t="s">
        <v>661</v>
      </c>
      <c r="B456" s="141" t="s">
        <v>1339</v>
      </c>
      <c r="C456" s="141" t="s">
        <v>1404</v>
      </c>
      <c r="D456" s="243" t="s">
        <v>1403</v>
      </c>
      <c r="E456" s="243"/>
      <c r="F456" s="243"/>
      <c r="G456" s="243"/>
      <c r="H456" s="243"/>
      <c r="I456" s="243"/>
      <c r="J456" s="141" t="s">
        <v>691</v>
      </c>
      <c r="K456" s="137">
        <v>5.319</v>
      </c>
      <c r="L456" s="203">
        <v>0</v>
      </c>
      <c r="M456" s="137">
        <f>K456*L456</f>
        <v>0</v>
      </c>
      <c r="N456" s="137">
        <v>1.17E-3</v>
      </c>
      <c r="O456" s="140" t="s">
        <v>1340</v>
      </c>
      <c r="P456" s="130"/>
      <c r="Z456" s="137">
        <f>IF(AQ456="5",BJ456,0)</f>
        <v>0</v>
      </c>
      <c r="AB456" s="137">
        <f>IF(AQ456="1",BH456,0)</f>
        <v>0</v>
      </c>
      <c r="AC456" s="137">
        <f>IF(AQ456="1",BI456,0)</f>
        <v>0</v>
      </c>
      <c r="AD456" s="137">
        <f>IF(AQ456="7",BH456,0)</f>
        <v>0</v>
      </c>
      <c r="AE456" s="137">
        <f>IF(AQ456="7",BI456,0)</f>
        <v>0</v>
      </c>
      <c r="AF456" s="137">
        <f>IF(AQ456="2",BH456,0)</f>
        <v>0</v>
      </c>
      <c r="AG456" s="137">
        <f>IF(AQ456="2",BI456,0)</f>
        <v>0</v>
      </c>
      <c r="AH456" s="137">
        <f>IF(AQ456="0",BJ456,0)</f>
        <v>0</v>
      </c>
      <c r="AI456" s="138" t="s">
        <v>1339</v>
      </c>
      <c r="AJ456" s="137">
        <f>IF(AN456=0,M456,0)</f>
        <v>0</v>
      </c>
      <c r="AK456" s="137">
        <f>IF(AN456=15,M456,0)</f>
        <v>0</v>
      </c>
      <c r="AL456" s="137">
        <f>IF(AN456=21,M456,0)</f>
        <v>0</v>
      </c>
      <c r="AN456" s="137">
        <v>21</v>
      </c>
      <c r="AO456" s="137">
        <f>L456*0.0757368888685337</f>
        <v>0</v>
      </c>
      <c r="AP456" s="137">
        <f>L456*(1-0.0757368888685337)</f>
        <v>0</v>
      </c>
      <c r="AQ456" s="139" t="s">
        <v>2</v>
      </c>
      <c r="AV456" s="137">
        <f>AW456+AX456</f>
        <v>0</v>
      </c>
      <c r="AW456" s="137">
        <f>K456*AO456</f>
        <v>0</v>
      </c>
      <c r="AX456" s="137">
        <f>K456*AP456</f>
        <v>0</v>
      </c>
      <c r="AY456" s="139" t="s">
        <v>1399</v>
      </c>
      <c r="AZ456" s="139" t="s">
        <v>1337</v>
      </c>
      <c r="BA456" s="138" t="s">
        <v>1336</v>
      </c>
      <c r="BC456" s="137">
        <f>AW456+AX456</f>
        <v>0</v>
      </c>
      <c r="BD456" s="137">
        <f>L456/(100-BE456)*100</f>
        <v>0</v>
      </c>
      <c r="BE456" s="137">
        <v>0</v>
      </c>
      <c r="BF456" s="137">
        <f>456</f>
        <v>456</v>
      </c>
      <c r="BH456" s="137">
        <f>K456*AO456</f>
        <v>0</v>
      </c>
      <c r="BI456" s="137">
        <f>K456*AP456</f>
        <v>0</v>
      </c>
      <c r="BJ456" s="137">
        <f>K456*L456</f>
        <v>0</v>
      </c>
      <c r="BK456" s="137" t="s">
        <v>442</v>
      </c>
      <c r="BL456" s="137">
        <v>96</v>
      </c>
    </row>
    <row r="457" spans="1:64">
      <c r="A457" s="130"/>
      <c r="D457" s="157" t="s">
        <v>1402</v>
      </c>
      <c r="I457" s="156"/>
      <c r="K457" s="155">
        <v>5.319</v>
      </c>
      <c r="O457" s="154"/>
      <c r="P457" s="130"/>
    </row>
    <row r="458" spans="1:64">
      <c r="A458" s="142" t="s">
        <v>106</v>
      </c>
      <c r="B458" s="141" t="s">
        <v>1339</v>
      </c>
      <c r="C458" s="141" t="s">
        <v>1401</v>
      </c>
      <c r="D458" s="243" t="s">
        <v>1400</v>
      </c>
      <c r="E458" s="243"/>
      <c r="F458" s="243"/>
      <c r="G458" s="243"/>
      <c r="H458" s="243"/>
      <c r="I458" s="243"/>
      <c r="J458" s="141" t="s">
        <v>691</v>
      </c>
      <c r="K458" s="137">
        <v>1.05</v>
      </c>
      <c r="L458" s="203">
        <v>0</v>
      </c>
      <c r="M458" s="137">
        <f>K458*L458</f>
        <v>0</v>
      </c>
      <c r="N458" s="137">
        <v>0</v>
      </c>
      <c r="O458" s="140" t="s">
        <v>1340</v>
      </c>
      <c r="P458" s="130"/>
      <c r="Z458" s="137">
        <f>IF(AQ458="5",BJ458,0)</f>
        <v>0</v>
      </c>
      <c r="AB458" s="137">
        <f>IF(AQ458="1",BH458,0)</f>
        <v>0</v>
      </c>
      <c r="AC458" s="137">
        <f>IF(AQ458="1",BI458,0)</f>
        <v>0</v>
      </c>
      <c r="AD458" s="137">
        <f>IF(AQ458="7",BH458,0)</f>
        <v>0</v>
      </c>
      <c r="AE458" s="137">
        <f>IF(AQ458="7",BI458,0)</f>
        <v>0</v>
      </c>
      <c r="AF458" s="137">
        <f>IF(AQ458="2",BH458,0)</f>
        <v>0</v>
      </c>
      <c r="AG458" s="137">
        <f>IF(AQ458="2",BI458,0)</f>
        <v>0</v>
      </c>
      <c r="AH458" s="137">
        <f>IF(AQ458="0",BJ458,0)</f>
        <v>0</v>
      </c>
      <c r="AI458" s="138" t="s">
        <v>1339</v>
      </c>
      <c r="AJ458" s="137">
        <f>IF(AN458=0,M458,0)</f>
        <v>0</v>
      </c>
      <c r="AK458" s="137">
        <f>IF(AN458=15,M458,0)</f>
        <v>0</v>
      </c>
      <c r="AL458" s="137">
        <f>IF(AN458=21,M458,0)</f>
        <v>0</v>
      </c>
      <c r="AN458" s="137">
        <v>21</v>
      </c>
      <c r="AO458" s="137">
        <f>L458*0</f>
        <v>0</v>
      </c>
      <c r="AP458" s="137">
        <f>L458*(1-0)</f>
        <v>0</v>
      </c>
      <c r="AQ458" s="139" t="s">
        <v>2</v>
      </c>
      <c r="AV458" s="137">
        <f>AW458+AX458</f>
        <v>0</v>
      </c>
      <c r="AW458" s="137">
        <f>K458*AO458</f>
        <v>0</v>
      </c>
      <c r="AX458" s="137">
        <f>K458*AP458</f>
        <v>0</v>
      </c>
      <c r="AY458" s="139" t="s">
        <v>1399</v>
      </c>
      <c r="AZ458" s="139" t="s">
        <v>1337</v>
      </c>
      <c r="BA458" s="138" t="s">
        <v>1336</v>
      </c>
      <c r="BC458" s="137">
        <f>AW458+AX458</f>
        <v>0</v>
      </c>
      <c r="BD458" s="137">
        <f>L458/(100-BE458)*100</f>
        <v>0</v>
      </c>
      <c r="BE458" s="137">
        <v>0</v>
      </c>
      <c r="BF458" s="137">
        <f>458</f>
        <v>458</v>
      </c>
      <c r="BH458" s="137">
        <f>K458*AO458</f>
        <v>0</v>
      </c>
      <c r="BI458" s="137">
        <f>K458*AP458</f>
        <v>0</v>
      </c>
      <c r="BJ458" s="137">
        <f>K458*L458</f>
        <v>0</v>
      </c>
      <c r="BK458" s="137" t="s">
        <v>442</v>
      </c>
      <c r="BL458" s="137">
        <v>96</v>
      </c>
    </row>
    <row r="459" spans="1:64">
      <c r="A459" s="130"/>
      <c r="D459" s="157" t="s">
        <v>1398</v>
      </c>
      <c r="I459" s="156"/>
      <c r="K459" s="155">
        <v>1.05</v>
      </c>
      <c r="O459" s="154"/>
      <c r="P459" s="130"/>
    </row>
    <row r="460" spans="1:64">
      <c r="A460" s="147"/>
      <c r="B460" s="146" t="s">
        <v>1339</v>
      </c>
      <c r="C460" s="146" t="s">
        <v>47</v>
      </c>
      <c r="D460" s="252" t="s">
        <v>1397</v>
      </c>
      <c r="E460" s="252"/>
      <c r="F460" s="252"/>
      <c r="G460" s="252"/>
      <c r="H460" s="252"/>
      <c r="I460" s="252"/>
      <c r="J460" s="145" t="s">
        <v>1305</v>
      </c>
      <c r="K460" s="145" t="s">
        <v>1305</v>
      </c>
      <c r="L460" s="145" t="s">
        <v>1305</v>
      </c>
      <c r="M460" s="143">
        <f>SUM(M461:M482)</f>
        <v>0</v>
      </c>
      <c r="N460" s="138"/>
      <c r="O460" s="144"/>
      <c r="P460" s="130"/>
      <c r="AI460" s="138" t="s">
        <v>1339</v>
      </c>
      <c r="AS460" s="143">
        <f>SUM(AJ461:AJ482)</f>
        <v>0</v>
      </c>
      <c r="AT460" s="143">
        <f>SUM(AK461:AK482)</f>
        <v>0</v>
      </c>
      <c r="AU460" s="143">
        <f>SUM(AL461:AL482)</f>
        <v>0</v>
      </c>
    </row>
    <row r="461" spans="1:64">
      <c r="A461" s="142" t="s">
        <v>1293</v>
      </c>
      <c r="B461" s="141" t="s">
        <v>1339</v>
      </c>
      <c r="C461" s="141" t="s">
        <v>1396</v>
      </c>
      <c r="D461" s="243" t="s">
        <v>1395</v>
      </c>
      <c r="E461" s="243"/>
      <c r="F461" s="243"/>
      <c r="G461" s="243"/>
      <c r="H461" s="243"/>
      <c r="I461" s="243"/>
      <c r="J461" s="141" t="s">
        <v>1261</v>
      </c>
      <c r="K461" s="137">
        <v>1.1205000000000001</v>
      </c>
      <c r="L461" s="203">
        <v>0</v>
      </c>
      <c r="M461" s="137">
        <f>K461*L461</f>
        <v>0</v>
      </c>
      <c r="N461" s="137">
        <v>1.82E-3</v>
      </c>
      <c r="O461" s="140" t="s">
        <v>1340</v>
      </c>
      <c r="P461" s="130"/>
      <c r="Z461" s="137">
        <f>IF(AQ461="5",BJ461,0)</f>
        <v>0</v>
      </c>
      <c r="AB461" s="137">
        <f>IF(AQ461="1",BH461,0)</f>
        <v>0</v>
      </c>
      <c r="AC461" s="137">
        <f>IF(AQ461="1",BI461,0)</f>
        <v>0</v>
      </c>
      <c r="AD461" s="137">
        <f>IF(AQ461="7",BH461,0)</f>
        <v>0</v>
      </c>
      <c r="AE461" s="137">
        <f>IF(AQ461="7",BI461,0)</f>
        <v>0</v>
      </c>
      <c r="AF461" s="137">
        <f>IF(AQ461="2",BH461,0)</f>
        <v>0</v>
      </c>
      <c r="AG461" s="137">
        <f>IF(AQ461="2",BI461,0)</f>
        <v>0</v>
      </c>
      <c r="AH461" s="137">
        <f>IF(AQ461="0",BJ461,0)</f>
        <v>0</v>
      </c>
      <c r="AI461" s="138" t="s">
        <v>1339</v>
      </c>
      <c r="AJ461" s="137">
        <f>IF(AN461=0,M461,0)</f>
        <v>0</v>
      </c>
      <c r="AK461" s="137">
        <f>IF(AN461=15,M461,0)</f>
        <v>0</v>
      </c>
      <c r="AL461" s="137">
        <f>IF(AN461=21,M461,0)</f>
        <v>0</v>
      </c>
      <c r="AN461" s="137">
        <v>21</v>
      </c>
      <c r="AO461" s="137">
        <f>L461*0.0323946004835388</f>
        <v>0</v>
      </c>
      <c r="AP461" s="137">
        <f>L461*(1-0.0323946004835388)</f>
        <v>0</v>
      </c>
      <c r="AQ461" s="139" t="s">
        <v>2</v>
      </c>
      <c r="AV461" s="137">
        <f>AW461+AX461</f>
        <v>0</v>
      </c>
      <c r="AW461" s="137">
        <f>K461*AO461</f>
        <v>0</v>
      </c>
      <c r="AX461" s="137">
        <f>K461*AP461</f>
        <v>0</v>
      </c>
      <c r="AY461" s="139" t="s">
        <v>1366</v>
      </c>
      <c r="AZ461" s="139" t="s">
        <v>1337</v>
      </c>
      <c r="BA461" s="138" t="s">
        <v>1336</v>
      </c>
      <c r="BC461" s="137">
        <f>AW461+AX461</f>
        <v>0</v>
      </c>
      <c r="BD461" s="137">
        <f>L461/(100-BE461)*100</f>
        <v>0</v>
      </c>
      <c r="BE461" s="137">
        <v>0</v>
      </c>
      <c r="BF461" s="137">
        <f>461</f>
        <v>461</v>
      </c>
      <c r="BH461" s="137">
        <f>K461*AO461</f>
        <v>0</v>
      </c>
      <c r="BI461" s="137">
        <f>K461*AP461</f>
        <v>0</v>
      </c>
      <c r="BJ461" s="137">
        <f>K461*L461</f>
        <v>0</v>
      </c>
      <c r="BK461" s="137" t="s">
        <v>442</v>
      </c>
      <c r="BL461" s="137">
        <v>97</v>
      </c>
    </row>
    <row r="462" spans="1:64">
      <c r="A462" s="130"/>
      <c r="D462" s="157" t="s">
        <v>1394</v>
      </c>
      <c r="I462" s="156"/>
      <c r="K462" s="155">
        <v>1.1205000000000001</v>
      </c>
      <c r="O462" s="154"/>
      <c r="P462" s="130"/>
    </row>
    <row r="463" spans="1:64">
      <c r="A463" s="142" t="s">
        <v>102</v>
      </c>
      <c r="B463" s="141" t="s">
        <v>1339</v>
      </c>
      <c r="C463" s="141" t="s">
        <v>1393</v>
      </c>
      <c r="D463" s="243" t="s">
        <v>1392</v>
      </c>
      <c r="E463" s="243"/>
      <c r="F463" s="243"/>
      <c r="G463" s="243"/>
      <c r="H463" s="243"/>
      <c r="I463" s="243"/>
      <c r="J463" s="141" t="s">
        <v>691</v>
      </c>
      <c r="K463" s="137">
        <v>49.28</v>
      </c>
      <c r="L463" s="203">
        <v>0</v>
      </c>
      <c r="M463" s="137">
        <f>K463*L463</f>
        <v>0</v>
      </c>
      <c r="N463" s="137">
        <v>0</v>
      </c>
      <c r="O463" s="140" t="s">
        <v>1340</v>
      </c>
      <c r="P463" s="130"/>
      <c r="Z463" s="137">
        <f>IF(AQ463="5",BJ463,0)</f>
        <v>0</v>
      </c>
      <c r="AB463" s="137">
        <f>IF(AQ463="1",BH463,0)</f>
        <v>0</v>
      </c>
      <c r="AC463" s="137">
        <f>IF(AQ463="1",BI463,0)</f>
        <v>0</v>
      </c>
      <c r="AD463" s="137">
        <f>IF(AQ463="7",BH463,0)</f>
        <v>0</v>
      </c>
      <c r="AE463" s="137">
        <f>IF(AQ463="7",BI463,0)</f>
        <v>0</v>
      </c>
      <c r="AF463" s="137">
        <f>IF(AQ463="2",BH463,0)</f>
        <v>0</v>
      </c>
      <c r="AG463" s="137">
        <f>IF(AQ463="2",BI463,0)</f>
        <v>0</v>
      </c>
      <c r="AH463" s="137">
        <f>IF(AQ463="0",BJ463,0)</f>
        <v>0</v>
      </c>
      <c r="AI463" s="138" t="s">
        <v>1339</v>
      </c>
      <c r="AJ463" s="137">
        <f>IF(AN463=0,M463,0)</f>
        <v>0</v>
      </c>
      <c r="AK463" s="137">
        <f>IF(AN463=15,M463,0)</f>
        <v>0</v>
      </c>
      <c r="AL463" s="137">
        <f>IF(AN463=21,M463,0)</f>
        <v>0</v>
      </c>
      <c r="AN463" s="137">
        <v>21</v>
      </c>
      <c r="AO463" s="137">
        <f>L463*0</f>
        <v>0</v>
      </c>
      <c r="AP463" s="137">
        <f>L463*(1-0)</f>
        <v>0</v>
      </c>
      <c r="AQ463" s="139" t="s">
        <v>2</v>
      </c>
      <c r="AV463" s="137">
        <f>AW463+AX463</f>
        <v>0</v>
      </c>
      <c r="AW463" s="137">
        <f>K463*AO463</f>
        <v>0</v>
      </c>
      <c r="AX463" s="137">
        <f>K463*AP463</f>
        <v>0</v>
      </c>
      <c r="AY463" s="139" t="s">
        <v>1366</v>
      </c>
      <c r="AZ463" s="139" t="s">
        <v>1337</v>
      </c>
      <c r="BA463" s="138" t="s">
        <v>1336</v>
      </c>
      <c r="BC463" s="137">
        <f>AW463+AX463</f>
        <v>0</v>
      </c>
      <c r="BD463" s="137">
        <f>L463/(100-BE463)*100</f>
        <v>0</v>
      </c>
      <c r="BE463" s="137">
        <v>0</v>
      </c>
      <c r="BF463" s="137">
        <f>463</f>
        <v>463</v>
      </c>
      <c r="BH463" s="137">
        <f>K463*AO463</f>
        <v>0</v>
      </c>
      <c r="BI463" s="137">
        <f>K463*AP463</f>
        <v>0</v>
      </c>
      <c r="BJ463" s="137">
        <f>K463*L463</f>
        <v>0</v>
      </c>
      <c r="BK463" s="137" t="s">
        <v>442</v>
      </c>
      <c r="BL463" s="137">
        <v>97</v>
      </c>
    </row>
    <row r="464" spans="1:64">
      <c r="A464" s="130"/>
      <c r="D464" s="157" t="s">
        <v>1391</v>
      </c>
      <c r="I464" s="156"/>
      <c r="K464" s="155">
        <v>2.33</v>
      </c>
      <c r="O464" s="154"/>
      <c r="P464" s="130"/>
    </row>
    <row r="465" spans="1:64">
      <c r="A465" s="130"/>
      <c r="D465" s="157" t="s">
        <v>1390</v>
      </c>
      <c r="I465" s="156"/>
      <c r="K465" s="155">
        <v>44.55</v>
      </c>
      <c r="O465" s="154"/>
      <c r="P465" s="130"/>
    </row>
    <row r="466" spans="1:64">
      <c r="A466" s="130"/>
      <c r="D466" s="157" t="s">
        <v>1389</v>
      </c>
      <c r="I466" s="156"/>
      <c r="K466" s="155">
        <v>2.4</v>
      </c>
      <c r="O466" s="154"/>
      <c r="P466" s="130"/>
    </row>
    <row r="467" spans="1:64">
      <c r="A467" s="142" t="s">
        <v>1292</v>
      </c>
      <c r="B467" s="141" t="s">
        <v>1339</v>
      </c>
      <c r="C467" s="141" t="s">
        <v>1388</v>
      </c>
      <c r="D467" s="243" t="s">
        <v>1387</v>
      </c>
      <c r="E467" s="243"/>
      <c r="F467" s="243"/>
      <c r="G467" s="243"/>
      <c r="H467" s="243"/>
      <c r="I467" s="243"/>
      <c r="J467" s="141" t="s">
        <v>691</v>
      </c>
      <c r="K467" s="137">
        <v>3.5550000000000002</v>
      </c>
      <c r="L467" s="203">
        <v>0</v>
      </c>
      <c r="M467" s="137">
        <f>K467*L467</f>
        <v>0</v>
      </c>
      <c r="N467" s="137">
        <v>0</v>
      </c>
      <c r="O467" s="140" t="s">
        <v>1340</v>
      </c>
      <c r="P467" s="130"/>
      <c r="Z467" s="137">
        <f>IF(AQ467="5",BJ467,0)</f>
        <v>0</v>
      </c>
      <c r="AB467" s="137">
        <f>IF(AQ467="1",BH467,0)</f>
        <v>0</v>
      </c>
      <c r="AC467" s="137">
        <f>IF(AQ467="1",BI467,0)</f>
        <v>0</v>
      </c>
      <c r="AD467" s="137">
        <f>IF(AQ467="7",BH467,0)</f>
        <v>0</v>
      </c>
      <c r="AE467" s="137">
        <f>IF(AQ467="7",BI467,0)</f>
        <v>0</v>
      </c>
      <c r="AF467" s="137">
        <f>IF(AQ467="2",BH467,0)</f>
        <v>0</v>
      </c>
      <c r="AG467" s="137">
        <f>IF(AQ467="2",BI467,0)</f>
        <v>0</v>
      </c>
      <c r="AH467" s="137">
        <f>IF(AQ467="0",BJ467,0)</f>
        <v>0</v>
      </c>
      <c r="AI467" s="138" t="s">
        <v>1339</v>
      </c>
      <c r="AJ467" s="137">
        <f>IF(AN467=0,M467,0)</f>
        <v>0</v>
      </c>
      <c r="AK467" s="137">
        <f>IF(AN467=15,M467,0)</f>
        <v>0</v>
      </c>
      <c r="AL467" s="137">
        <f>IF(AN467=21,M467,0)</f>
        <v>0</v>
      </c>
      <c r="AN467" s="137">
        <v>21</v>
      </c>
      <c r="AO467" s="137">
        <f>L467*0</f>
        <v>0</v>
      </c>
      <c r="AP467" s="137">
        <f>L467*(1-0)</f>
        <v>0</v>
      </c>
      <c r="AQ467" s="139" t="s">
        <v>2</v>
      </c>
      <c r="AV467" s="137">
        <f>AW467+AX467</f>
        <v>0</v>
      </c>
      <c r="AW467" s="137">
        <f>K467*AO467</f>
        <v>0</v>
      </c>
      <c r="AX467" s="137">
        <f>K467*AP467</f>
        <v>0</v>
      </c>
      <c r="AY467" s="139" t="s">
        <v>1366</v>
      </c>
      <c r="AZ467" s="139" t="s">
        <v>1337</v>
      </c>
      <c r="BA467" s="138" t="s">
        <v>1336</v>
      </c>
      <c r="BC467" s="137">
        <f>AW467+AX467</f>
        <v>0</v>
      </c>
      <c r="BD467" s="137">
        <f>L467/(100-BE467)*100</f>
        <v>0</v>
      </c>
      <c r="BE467" s="137">
        <v>0</v>
      </c>
      <c r="BF467" s="137">
        <f>467</f>
        <v>467</v>
      </c>
      <c r="BH467" s="137">
        <f>K467*AO467</f>
        <v>0</v>
      </c>
      <c r="BI467" s="137">
        <f>K467*AP467</f>
        <v>0</v>
      </c>
      <c r="BJ467" s="137">
        <f>K467*L467</f>
        <v>0</v>
      </c>
      <c r="BK467" s="137" t="s">
        <v>442</v>
      </c>
      <c r="BL467" s="137">
        <v>97</v>
      </c>
    </row>
    <row r="468" spans="1:64">
      <c r="A468" s="130"/>
      <c r="D468" s="157" t="s">
        <v>1386</v>
      </c>
      <c r="I468" s="156"/>
      <c r="K468" s="155">
        <v>3.5550000000000002</v>
      </c>
      <c r="O468" s="154"/>
      <c r="P468" s="130"/>
    </row>
    <row r="469" spans="1:64">
      <c r="A469" s="142" t="s">
        <v>98</v>
      </c>
      <c r="B469" s="141" t="s">
        <v>1339</v>
      </c>
      <c r="C469" s="141" t="s">
        <v>1385</v>
      </c>
      <c r="D469" s="243" t="s">
        <v>1384</v>
      </c>
      <c r="E469" s="243"/>
      <c r="F469" s="243"/>
      <c r="G469" s="243"/>
      <c r="H469" s="243"/>
      <c r="I469" s="243"/>
      <c r="J469" s="141" t="s">
        <v>722</v>
      </c>
      <c r="K469" s="137">
        <v>2</v>
      </c>
      <c r="L469" s="203">
        <v>0</v>
      </c>
      <c r="M469" s="137">
        <f>K469*L469</f>
        <v>0</v>
      </c>
      <c r="N469" s="137">
        <v>6.7000000000000002E-4</v>
      </c>
      <c r="O469" s="140" t="s">
        <v>1340</v>
      </c>
      <c r="P469" s="130"/>
      <c r="Z469" s="137">
        <f>IF(AQ469="5",BJ469,0)</f>
        <v>0</v>
      </c>
      <c r="AB469" s="137">
        <f>IF(AQ469="1",BH469,0)</f>
        <v>0</v>
      </c>
      <c r="AC469" s="137">
        <f>IF(AQ469="1",BI469,0)</f>
        <v>0</v>
      </c>
      <c r="AD469" s="137">
        <f>IF(AQ469="7",BH469,0)</f>
        <v>0</v>
      </c>
      <c r="AE469" s="137">
        <f>IF(AQ469="7",BI469,0)</f>
        <v>0</v>
      </c>
      <c r="AF469" s="137">
        <f>IF(AQ469="2",BH469,0)</f>
        <v>0</v>
      </c>
      <c r="AG469" s="137">
        <f>IF(AQ469="2",BI469,0)</f>
        <v>0</v>
      </c>
      <c r="AH469" s="137">
        <f>IF(AQ469="0",BJ469,0)</f>
        <v>0</v>
      </c>
      <c r="AI469" s="138" t="s">
        <v>1339</v>
      </c>
      <c r="AJ469" s="137">
        <f>IF(AN469=0,M469,0)</f>
        <v>0</v>
      </c>
      <c r="AK469" s="137">
        <f>IF(AN469=15,M469,0)</f>
        <v>0</v>
      </c>
      <c r="AL469" s="137">
        <f>IF(AN469=21,M469,0)</f>
        <v>0</v>
      </c>
      <c r="AN469" s="137">
        <v>21</v>
      </c>
      <c r="AO469" s="137">
        <f>L469*0.0899745547073791</f>
        <v>0</v>
      </c>
      <c r="AP469" s="137">
        <f>L469*(1-0.0899745547073791)</f>
        <v>0</v>
      </c>
      <c r="AQ469" s="139" t="s">
        <v>2</v>
      </c>
      <c r="AV469" s="137">
        <f>AW469+AX469</f>
        <v>0</v>
      </c>
      <c r="AW469" s="137">
        <f>K469*AO469</f>
        <v>0</v>
      </c>
      <c r="AX469" s="137">
        <f>K469*AP469</f>
        <v>0</v>
      </c>
      <c r="AY469" s="139" t="s">
        <v>1366</v>
      </c>
      <c r="AZ469" s="139" t="s">
        <v>1337</v>
      </c>
      <c r="BA469" s="138" t="s">
        <v>1336</v>
      </c>
      <c r="BC469" s="137">
        <f>AW469+AX469</f>
        <v>0</v>
      </c>
      <c r="BD469" s="137">
        <f>L469/(100-BE469)*100</f>
        <v>0</v>
      </c>
      <c r="BE469" s="137">
        <v>0</v>
      </c>
      <c r="BF469" s="137">
        <f>469</f>
        <v>469</v>
      </c>
      <c r="BH469" s="137">
        <f>K469*AO469</f>
        <v>0</v>
      </c>
      <c r="BI469" s="137">
        <f>K469*AP469</f>
        <v>0</v>
      </c>
      <c r="BJ469" s="137">
        <f>K469*L469</f>
        <v>0</v>
      </c>
      <c r="BK469" s="137" t="s">
        <v>442</v>
      </c>
      <c r="BL469" s="137">
        <v>97</v>
      </c>
    </row>
    <row r="470" spans="1:64">
      <c r="A470" s="130"/>
      <c r="D470" s="157" t="s">
        <v>365</v>
      </c>
      <c r="I470" s="156"/>
      <c r="K470" s="155">
        <v>2</v>
      </c>
      <c r="O470" s="154"/>
      <c r="P470" s="130"/>
    </row>
    <row r="471" spans="1:64">
      <c r="A471" s="142" t="s">
        <v>1291</v>
      </c>
      <c r="B471" s="141" t="s">
        <v>1339</v>
      </c>
      <c r="C471" s="141" t="s">
        <v>1383</v>
      </c>
      <c r="D471" s="243" t="s">
        <v>1382</v>
      </c>
      <c r="E471" s="243"/>
      <c r="F471" s="243"/>
      <c r="G471" s="243"/>
      <c r="H471" s="243"/>
      <c r="I471" s="243"/>
      <c r="J471" s="141" t="s">
        <v>21</v>
      </c>
      <c r="K471" s="137">
        <v>13.35</v>
      </c>
      <c r="L471" s="203">
        <v>0</v>
      </c>
      <c r="M471" s="137">
        <f>K471*L471</f>
        <v>0</v>
      </c>
      <c r="N471" s="137">
        <v>4.8999999999999998E-4</v>
      </c>
      <c r="O471" s="140" t="s">
        <v>1340</v>
      </c>
      <c r="P471" s="130"/>
      <c r="Z471" s="137">
        <f>IF(AQ471="5",BJ471,0)</f>
        <v>0</v>
      </c>
      <c r="AB471" s="137">
        <f>IF(AQ471="1",BH471,0)</f>
        <v>0</v>
      </c>
      <c r="AC471" s="137">
        <f>IF(AQ471="1",BI471,0)</f>
        <v>0</v>
      </c>
      <c r="AD471" s="137">
        <f>IF(AQ471="7",BH471,0)</f>
        <v>0</v>
      </c>
      <c r="AE471" s="137">
        <f>IF(AQ471="7",BI471,0)</f>
        <v>0</v>
      </c>
      <c r="AF471" s="137">
        <f>IF(AQ471="2",BH471,0)</f>
        <v>0</v>
      </c>
      <c r="AG471" s="137">
        <f>IF(AQ471="2",BI471,0)</f>
        <v>0</v>
      </c>
      <c r="AH471" s="137">
        <f>IF(AQ471="0",BJ471,0)</f>
        <v>0</v>
      </c>
      <c r="AI471" s="138" t="s">
        <v>1339</v>
      </c>
      <c r="AJ471" s="137">
        <f>IF(AN471=0,M471,0)</f>
        <v>0</v>
      </c>
      <c r="AK471" s="137">
        <f>IF(AN471=15,M471,0)</f>
        <v>0</v>
      </c>
      <c r="AL471" s="137">
        <f>IF(AN471=21,M471,0)</f>
        <v>0</v>
      </c>
      <c r="AN471" s="137">
        <v>21</v>
      </c>
      <c r="AO471" s="137">
        <f>L471*0.0504247104247104</f>
        <v>0</v>
      </c>
      <c r="AP471" s="137">
        <f>L471*(1-0.0504247104247104)</f>
        <v>0</v>
      </c>
      <c r="AQ471" s="139" t="s">
        <v>2</v>
      </c>
      <c r="AV471" s="137">
        <f>AW471+AX471</f>
        <v>0</v>
      </c>
      <c r="AW471" s="137">
        <f>K471*AO471</f>
        <v>0</v>
      </c>
      <c r="AX471" s="137">
        <f>K471*AP471</f>
        <v>0</v>
      </c>
      <c r="AY471" s="139" t="s">
        <v>1366</v>
      </c>
      <c r="AZ471" s="139" t="s">
        <v>1337</v>
      </c>
      <c r="BA471" s="138" t="s">
        <v>1336</v>
      </c>
      <c r="BC471" s="137">
        <f>AW471+AX471</f>
        <v>0</v>
      </c>
      <c r="BD471" s="137">
        <f>L471/(100-BE471)*100</f>
        <v>0</v>
      </c>
      <c r="BE471" s="137">
        <v>0</v>
      </c>
      <c r="BF471" s="137">
        <f>471</f>
        <v>471</v>
      </c>
      <c r="BH471" s="137">
        <f>K471*AO471</f>
        <v>0</v>
      </c>
      <c r="BI471" s="137">
        <f>K471*AP471</f>
        <v>0</v>
      </c>
      <c r="BJ471" s="137">
        <f>K471*L471</f>
        <v>0</v>
      </c>
      <c r="BK471" s="137" t="s">
        <v>442</v>
      </c>
      <c r="BL471" s="137">
        <v>97</v>
      </c>
    </row>
    <row r="472" spans="1:64">
      <c r="A472" s="130"/>
      <c r="D472" s="157" t="s">
        <v>1381</v>
      </c>
      <c r="I472" s="156"/>
      <c r="K472" s="155">
        <v>9.4499999999999993</v>
      </c>
      <c r="O472" s="154"/>
      <c r="P472" s="130"/>
    </row>
    <row r="473" spans="1:64">
      <c r="A473" s="130"/>
      <c r="D473" s="157" t="s">
        <v>1380</v>
      </c>
      <c r="I473" s="156"/>
      <c r="K473" s="155">
        <v>3.9</v>
      </c>
      <c r="O473" s="154"/>
      <c r="P473" s="130"/>
    </row>
    <row r="474" spans="1:64">
      <c r="A474" s="142" t="s">
        <v>94</v>
      </c>
      <c r="B474" s="141" t="s">
        <v>1339</v>
      </c>
      <c r="C474" s="141" t="s">
        <v>1379</v>
      </c>
      <c r="D474" s="243" t="s">
        <v>1378</v>
      </c>
      <c r="E474" s="243"/>
      <c r="F474" s="243"/>
      <c r="G474" s="243"/>
      <c r="H474" s="243"/>
      <c r="I474" s="243"/>
      <c r="J474" s="141" t="s">
        <v>722</v>
      </c>
      <c r="K474" s="137">
        <v>3</v>
      </c>
      <c r="L474" s="203">
        <v>0</v>
      </c>
      <c r="M474" s="137">
        <f>K474*L474</f>
        <v>0</v>
      </c>
      <c r="N474" s="137">
        <v>1.33E-3</v>
      </c>
      <c r="O474" s="140" t="s">
        <v>1340</v>
      </c>
      <c r="P474" s="130"/>
      <c r="Z474" s="137">
        <f>IF(AQ474="5",BJ474,0)</f>
        <v>0</v>
      </c>
      <c r="AB474" s="137">
        <f>IF(AQ474="1",BH474,0)</f>
        <v>0</v>
      </c>
      <c r="AC474" s="137">
        <f>IF(AQ474="1",BI474,0)</f>
        <v>0</v>
      </c>
      <c r="AD474" s="137">
        <f>IF(AQ474="7",BH474,0)</f>
        <v>0</v>
      </c>
      <c r="AE474" s="137">
        <f>IF(AQ474="7",BI474,0)</f>
        <v>0</v>
      </c>
      <c r="AF474" s="137">
        <f>IF(AQ474="2",BH474,0)</f>
        <v>0</v>
      </c>
      <c r="AG474" s="137">
        <f>IF(AQ474="2",BI474,0)</f>
        <v>0</v>
      </c>
      <c r="AH474" s="137">
        <f>IF(AQ474="0",BJ474,0)</f>
        <v>0</v>
      </c>
      <c r="AI474" s="138" t="s">
        <v>1339</v>
      </c>
      <c r="AJ474" s="137">
        <f>IF(AN474=0,M474,0)</f>
        <v>0</v>
      </c>
      <c r="AK474" s="137">
        <f>IF(AN474=15,M474,0)</f>
        <v>0</v>
      </c>
      <c r="AL474" s="137">
        <f>IF(AN474=21,M474,0)</f>
        <v>0</v>
      </c>
      <c r="AN474" s="137">
        <v>21</v>
      </c>
      <c r="AO474" s="137">
        <f>L474*0.0586567164179104</f>
        <v>0</v>
      </c>
      <c r="AP474" s="137">
        <f>L474*(1-0.0586567164179104)</f>
        <v>0</v>
      </c>
      <c r="AQ474" s="139" t="s">
        <v>2</v>
      </c>
      <c r="AV474" s="137">
        <f>AW474+AX474</f>
        <v>0</v>
      </c>
      <c r="AW474" s="137">
        <f>K474*AO474</f>
        <v>0</v>
      </c>
      <c r="AX474" s="137">
        <f>K474*AP474</f>
        <v>0</v>
      </c>
      <c r="AY474" s="139" t="s">
        <v>1366</v>
      </c>
      <c r="AZ474" s="139" t="s">
        <v>1337</v>
      </c>
      <c r="BA474" s="138" t="s">
        <v>1336</v>
      </c>
      <c r="BC474" s="137">
        <f>AW474+AX474</f>
        <v>0</v>
      </c>
      <c r="BD474" s="137">
        <f>L474/(100-BE474)*100</f>
        <v>0</v>
      </c>
      <c r="BE474" s="137">
        <v>0</v>
      </c>
      <c r="BF474" s="137">
        <f>474</f>
        <v>474</v>
      </c>
      <c r="BH474" s="137">
        <f>K474*AO474</f>
        <v>0</v>
      </c>
      <c r="BI474" s="137">
        <f>K474*AP474</f>
        <v>0</v>
      </c>
      <c r="BJ474" s="137">
        <f>K474*L474</f>
        <v>0</v>
      </c>
      <c r="BK474" s="137" t="s">
        <v>442</v>
      </c>
      <c r="BL474" s="137">
        <v>97</v>
      </c>
    </row>
    <row r="475" spans="1:64">
      <c r="A475" s="130"/>
      <c r="D475" s="157" t="s">
        <v>1377</v>
      </c>
      <c r="I475" s="156"/>
      <c r="K475" s="155">
        <v>3</v>
      </c>
      <c r="O475" s="154"/>
      <c r="P475" s="130"/>
    </row>
    <row r="476" spans="1:64">
      <c r="A476" s="142" t="s">
        <v>1290</v>
      </c>
      <c r="B476" s="141" t="s">
        <v>1339</v>
      </c>
      <c r="C476" s="141" t="s">
        <v>1376</v>
      </c>
      <c r="D476" s="243" t="s">
        <v>1375</v>
      </c>
      <c r="E476" s="243"/>
      <c r="F476" s="243"/>
      <c r="G476" s="243"/>
      <c r="H476" s="243"/>
      <c r="I476" s="243"/>
      <c r="J476" s="141" t="s">
        <v>722</v>
      </c>
      <c r="K476" s="137">
        <v>2</v>
      </c>
      <c r="L476" s="203">
        <v>0</v>
      </c>
      <c r="M476" s="137">
        <f>K476*L476</f>
        <v>0</v>
      </c>
      <c r="N476" s="137">
        <v>3.4000000000000002E-4</v>
      </c>
      <c r="O476" s="140" t="s">
        <v>1340</v>
      </c>
      <c r="P476" s="130"/>
      <c r="Z476" s="137">
        <f>IF(AQ476="5",BJ476,0)</f>
        <v>0</v>
      </c>
      <c r="AB476" s="137">
        <f>IF(AQ476="1",BH476,0)</f>
        <v>0</v>
      </c>
      <c r="AC476" s="137">
        <f>IF(AQ476="1",BI476,0)</f>
        <v>0</v>
      </c>
      <c r="AD476" s="137">
        <f>IF(AQ476="7",BH476,0)</f>
        <v>0</v>
      </c>
      <c r="AE476" s="137">
        <f>IF(AQ476="7",BI476,0)</f>
        <v>0</v>
      </c>
      <c r="AF476" s="137">
        <f>IF(AQ476="2",BH476,0)</f>
        <v>0</v>
      </c>
      <c r="AG476" s="137">
        <f>IF(AQ476="2",BI476,0)</f>
        <v>0</v>
      </c>
      <c r="AH476" s="137">
        <f>IF(AQ476="0",BJ476,0)</f>
        <v>0</v>
      </c>
      <c r="AI476" s="138" t="s">
        <v>1339</v>
      </c>
      <c r="AJ476" s="137">
        <f>IF(AN476=0,M476,0)</f>
        <v>0</v>
      </c>
      <c r="AK476" s="137">
        <f>IF(AN476=15,M476,0)</f>
        <v>0</v>
      </c>
      <c r="AL476" s="137">
        <f>IF(AN476=21,M476,0)</f>
        <v>0</v>
      </c>
      <c r="AN476" s="137">
        <v>21</v>
      </c>
      <c r="AO476" s="137">
        <f>L476*0.100451467268623</f>
        <v>0</v>
      </c>
      <c r="AP476" s="137">
        <f>L476*(1-0.100451467268623)</f>
        <v>0</v>
      </c>
      <c r="AQ476" s="139" t="s">
        <v>2</v>
      </c>
      <c r="AV476" s="137">
        <f>AW476+AX476</f>
        <v>0</v>
      </c>
      <c r="AW476" s="137">
        <f>K476*AO476</f>
        <v>0</v>
      </c>
      <c r="AX476" s="137">
        <f>K476*AP476</f>
        <v>0</v>
      </c>
      <c r="AY476" s="139" t="s">
        <v>1366</v>
      </c>
      <c r="AZ476" s="139" t="s">
        <v>1337</v>
      </c>
      <c r="BA476" s="138" t="s">
        <v>1336</v>
      </c>
      <c r="BC476" s="137">
        <f>AW476+AX476</f>
        <v>0</v>
      </c>
      <c r="BD476" s="137">
        <f>L476/(100-BE476)*100</f>
        <v>0</v>
      </c>
      <c r="BE476" s="137">
        <v>0</v>
      </c>
      <c r="BF476" s="137">
        <f>476</f>
        <v>476</v>
      </c>
      <c r="BH476" s="137">
        <f>K476*AO476</f>
        <v>0</v>
      </c>
      <c r="BI476" s="137">
        <f>K476*AP476</f>
        <v>0</v>
      </c>
      <c r="BJ476" s="137">
        <f>K476*L476</f>
        <v>0</v>
      </c>
      <c r="BK476" s="137" t="s">
        <v>442</v>
      </c>
      <c r="BL476" s="137">
        <v>97</v>
      </c>
    </row>
    <row r="477" spans="1:64">
      <c r="A477" s="130"/>
      <c r="D477" s="157" t="s">
        <v>1374</v>
      </c>
      <c r="I477" s="156"/>
      <c r="K477" s="155">
        <v>2</v>
      </c>
      <c r="O477" s="154"/>
      <c r="P477" s="130"/>
    </row>
    <row r="478" spans="1:64">
      <c r="A478" s="142" t="s">
        <v>90</v>
      </c>
      <c r="B478" s="141" t="s">
        <v>1339</v>
      </c>
      <c r="C478" s="141" t="s">
        <v>1373</v>
      </c>
      <c r="D478" s="243" t="s">
        <v>1372</v>
      </c>
      <c r="E478" s="243"/>
      <c r="F478" s="243"/>
      <c r="G478" s="243"/>
      <c r="H478" s="243"/>
      <c r="I478" s="243"/>
      <c r="J478" s="141" t="s">
        <v>722</v>
      </c>
      <c r="K478" s="137">
        <v>4</v>
      </c>
      <c r="L478" s="203">
        <v>0</v>
      </c>
      <c r="M478" s="137">
        <f>K478*L478</f>
        <v>0</v>
      </c>
      <c r="N478" s="137">
        <v>0</v>
      </c>
      <c r="O478" s="140" t="s">
        <v>1340</v>
      </c>
      <c r="P478" s="130"/>
      <c r="Z478" s="137">
        <f>IF(AQ478="5",BJ478,0)</f>
        <v>0</v>
      </c>
      <c r="AB478" s="137">
        <f>IF(AQ478="1",BH478,0)</f>
        <v>0</v>
      </c>
      <c r="AC478" s="137">
        <f>IF(AQ478="1",BI478,0)</f>
        <v>0</v>
      </c>
      <c r="AD478" s="137">
        <f>IF(AQ478="7",BH478,0)</f>
        <v>0</v>
      </c>
      <c r="AE478" s="137">
        <f>IF(AQ478="7",BI478,0)</f>
        <v>0</v>
      </c>
      <c r="AF478" s="137">
        <f>IF(AQ478="2",BH478,0)</f>
        <v>0</v>
      </c>
      <c r="AG478" s="137">
        <f>IF(AQ478="2",BI478,0)</f>
        <v>0</v>
      </c>
      <c r="AH478" s="137">
        <f>IF(AQ478="0",BJ478,0)</f>
        <v>0</v>
      </c>
      <c r="AI478" s="138" t="s">
        <v>1339</v>
      </c>
      <c r="AJ478" s="137">
        <f>IF(AN478=0,M478,0)</f>
        <v>0</v>
      </c>
      <c r="AK478" s="137">
        <f>IF(AN478=15,M478,0)</f>
        <v>0</v>
      </c>
      <c r="AL478" s="137">
        <f>IF(AN478=21,M478,0)</f>
        <v>0</v>
      </c>
      <c r="AN478" s="137">
        <v>21</v>
      </c>
      <c r="AO478" s="137">
        <f>L478*0</f>
        <v>0</v>
      </c>
      <c r="AP478" s="137">
        <f>L478*(1-0)</f>
        <v>0</v>
      </c>
      <c r="AQ478" s="139" t="s">
        <v>2</v>
      </c>
      <c r="AV478" s="137">
        <f>AW478+AX478</f>
        <v>0</v>
      </c>
      <c r="AW478" s="137">
        <f>K478*AO478</f>
        <v>0</v>
      </c>
      <c r="AX478" s="137">
        <f>K478*AP478</f>
        <v>0</v>
      </c>
      <c r="AY478" s="139" t="s">
        <v>1366</v>
      </c>
      <c r="AZ478" s="139" t="s">
        <v>1337</v>
      </c>
      <c r="BA478" s="138" t="s">
        <v>1336</v>
      </c>
      <c r="BC478" s="137">
        <f>AW478+AX478</f>
        <v>0</v>
      </c>
      <c r="BD478" s="137">
        <f>L478/(100-BE478)*100</f>
        <v>0</v>
      </c>
      <c r="BE478" s="137">
        <v>0</v>
      </c>
      <c r="BF478" s="137">
        <f>478</f>
        <v>478</v>
      </c>
      <c r="BH478" s="137">
        <f>K478*AO478</f>
        <v>0</v>
      </c>
      <c r="BI478" s="137">
        <f>K478*AP478</f>
        <v>0</v>
      </c>
      <c r="BJ478" s="137">
        <f>K478*L478</f>
        <v>0</v>
      </c>
      <c r="BK478" s="137" t="s">
        <v>442</v>
      </c>
      <c r="BL478" s="137">
        <v>97</v>
      </c>
    </row>
    <row r="479" spans="1:64">
      <c r="A479" s="130"/>
      <c r="D479" s="157" t="s">
        <v>1371</v>
      </c>
      <c r="I479" s="156"/>
      <c r="K479" s="155">
        <v>4</v>
      </c>
      <c r="O479" s="154"/>
      <c r="P479" s="130"/>
    </row>
    <row r="480" spans="1:64">
      <c r="A480" s="142" t="s">
        <v>1289</v>
      </c>
      <c r="B480" s="141" t="s">
        <v>1339</v>
      </c>
      <c r="C480" s="141" t="s">
        <v>1370</v>
      </c>
      <c r="D480" s="243" t="s">
        <v>1369</v>
      </c>
      <c r="E480" s="243"/>
      <c r="F480" s="243"/>
      <c r="G480" s="243"/>
      <c r="H480" s="243"/>
      <c r="I480" s="243"/>
      <c r="J480" s="141" t="s">
        <v>722</v>
      </c>
      <c r="K480" s="137">
        <v>1</v>
      </c>
      <c r="L480" s="203">
        <v>0</v>
      </c>
      <c r="M480" s="137">
        <f>K480*L480</f>
        <v>0</v>
      </c>
      <c r="N480" s="137">
        <v>0</v>
      </c>
      <c r="O480" s="140" t="s">
        <v>1340</v>
      </c>
      <c r="P480" s="130"/>
      <c r="Z480" s="137">
        <f>IF(AQ480="5",BJ480,0)</f>
        <v>0</v>
      </c>
      <c r="AB480" s="137">
        <f>IF(AQ480="1",BH480,0)</f>
        <v>0</v>
      </c>
      <c r="AC480" s="137">
        <f>IF(AQ480="1",BI480,0)</f>
        <v>0</v>
      </c>
      <c r="AD480" s="137">
        <f>IF(AQ480="7",BH480,0)</f>
        <v>0</v>
      </c>
      <c r="AE480" s="137">
        <f>IF(AQ480="7",BI480,0)</f>
        <v>0</v>
      </c>
      <c r="AF480" s="137">
        <f>IF(AQ480="2",BH480,0)</f>
        <v>0</v>
      </c>
      <c r="AG480" s="137">
        <f>IF(AQ480="2",BI480,0)</f>
        <v>0</v>
      </c>
      <c r="AH480" s="137">
        <f>IF(AQ480="0",BJ480,0)</f>
        <v>0</v>
      </c>
      <c r="AI480" s="138" t="s">
        <v>1339</v>
      </c>
      <c r="AJ480" s="137">
        <f>IF(AN480=0,M480,0)</f>
        <v>0</v>
      </c>
      <c r="AK480" s="137">
        <f>IF(AN480=15,M480,0)</f>
        <v>0</v>
      </c>
      <c r="AL480" s="137">
        <f>IF(AN480=21,M480,0)</f>
        <v>0</v>
      </c>
      <c r="AN480" s="137">
        <v>21</v>
      </c>
      <c r="AO480" s="137">
        <f>L480*0</f>
        <v>0</v>
      </c>
      <c r="AP480" s="137">
        <f>L480*(1-0)</f>
        <v>0</v>
      </c>
      <c r="AQ480" s="139" t="s">
        <v>2</v>
      </c>
      <c r="AV480" s="137">
        <f>AW480+AX480</f>
        <v>0</v>
      </c>
      <c r="AW480" s="137">
        <f>K480*AO480</f>
        <v>0</v>
      </c>
      <c r="AX480" s="137">
        <f>K480*AP480</f>
        <v>0</v>
      </c>
      <c r="AY480" s="139" t="s">
        <v>1366</v>
      </c>
      <c r="AZ480" s="139" t="s">
        <v>1337</v>
      </c>
      <c r="BA480" s="138" t="s">
        <v>1336</v>
      </c>
      <c r="BC480" s="137">
        <f>AW480+AX480</f>
        <v>0</v>
      </c>
      <c r="BD480" s="137">
        <f>L480/(100-BE480)*100</f>
        <v>0</v>
      </c>
      <c r="BE480" s="137">
        <v>0</v>
      </c>
      <c r="BF480" s="137">
        <f>480</f>
        <v>480</v>
      </c>
      <c r="BH480" s="137">
        <f>K480*AO480</f>
        <v>0</v>
      </c>
      <c r="BI480" s="137">
        <f>K480*AP480</f>
        <v>0</v>
      </c>
      <c r="BJ480" s="137">
        <f>K480*L480</f>
        <v>0</v>
      </c>
      <c r="BK480" s="137" t="s">
        <v>442</v>
      </c>
      <c r="BL480" s="137">
        <v>97</v>
      </c>
    </row>
    <row r="481" spans="1:64">
      <c r="A481" s="130"/>
      <c r="D481" s="157" t="s">
        <v>2</v>
      </c>
      <c r="I481" s="156"/>
      <c r="K481" s="155">
        <v>1</v>
      </c>
      <c r="O481" s="154"/>
      <c r="P481" s="130"/>
    </row>
    <row r="482" spans="1:64">
      <c r="A482" s="142" t="s">
        <v>86</v>
      </c>
      <c r="B482" s="141" t="s">
        <v>1339</v>
      </c>
      <c r="C482" s="141" t="s">
        <v>1368</v>
      </c>
      <c r="D482" s="243" t="s">
        <v>1367</v>
      </c>
      <c r="E482" s="243"/>
      <c r="F482" s="243"/>
      <c r="G482" s="243"/>
      <c r="H482" s="243"/>
      <c r="I482" s="243"/>
      <c r="J482" s="141" t="s">
        <v>722</v>
      </c>
      <c r="K482" s="137">
        <v>8</v>
      </c>
      <c r="L482" s="203">
        <v>0</v>
      </c>
      <c r="M482" s="137">
        <f>K482*L482</f>
        <v>0</v>
      </c>
      <c r="N482" s="137">
        <v>4.8999999999999998E-4</v>
      </c>
      <c r="O482" s="140" t="s">
        <v>1340</v>
      </c>
      <c r="P482" s="130"/>
      <c r="Z482" s="137">
        <f>IF(AQ482="5",BJ482,0)</f>
        <v>0</v>
      </c>
      <c r="AB482" s="137">
        <f>IF(AQ482="1",BH482,0)</f>
        <v>0</v>
      </c>
      <c r="AC482" s="137">
        <f>IF(AQ482="1",BI482,0)</f>
        <v>0</v>
      </c>
      <c r="AD482" s="137">
        <f>IF(AQ482="7",BH482,0)</f>
        <v>0</v>
      </c>
      <c r="AE482" s="137">
        <f>IF(AQ482="7",BI482,0)</f>
        <v>0</v>
      </c>
      <c r="AF482" s="137">
        <f>IF(AQ482="2",BH482,0)</f>
        <v>0</v>
      </c>
      <c r="AG482" s="137">
        <f>IF(AQ482="2",BI482,0)</f>
        <v>0</v>
      </c>
      <c r="AH482" s="137">
        <f>IF(AQ482="0",BJ482,0)</f>
        <v>0</v>
      </c>
      <c r="AI482" s="138" t="s">
        <v>1339</v>
      </c>
      <c r="AJ482" s="137">
        <f>IF(AN482=0,M482,0)</f>
        <v>0</v>
      </c>
      <c r="AK482" s="137">
        <f>IF(AN482=15,M482,0)</f>
        <v>0</v>
      </c>
      <c r="AL482" s="137">
        <f>IF(AN482=21,M482,0)</f>
        <v>0</v>
      </c>
      <c r="AN482" s="137">
        <v>21</v>
      </c>
      <c r="AO482" s="137">
        <f>L482*0.0500383141762452</f>
        <v>0</v>
      </c>
      <c r="AP482" s="137">
        <f>L482*(1-0.0500383141762452)</f>
        <v>0</v>
      </c>
      <c r="AQ482" s="139" t="s">
        <v>2</v>
      </c>
      <c r="AV482" s="137">
        <f>AW482+AX482</f>
        <v>0</v>
      </c>
      <c r="AW482" s="137">
        <f>K482*AO482</f>
        <v>0</v>
      </c>
      <c r="AX482" s="137">
        <f>K482*AP482</f>
        <v>0</v>
      </c>
      <c r="AY482" s="139" t="s">
        <v>1366</v>
      </c>
      <c r="AZ482" s="139" t="s">
        <v>1337</v>
      </c>
      <c r="BA482" s="138" t="s">
        <v>1336</v>
      </c>
      <c r="BC482" s="137">
        <f>AW482+AX482</f>
        <v>0</v>
      </c>
      <c r="BD482" s="137">
        <f>L482/(100-BE482)*100</f>
        <v>0</v>
      </c>
      <c r="BE482" s="137">
        <v>0</v>
      </c>
      <c r="BF482" s="137">
        <f>482</f>
        <v>482</v>
      </c>
      <c r="BH482" s="137">
        <f>K482*AO482</f>
        <v>0</v>
      </c>
      <c r="BI482" s="137">
        <f>K482*AP482</f>
        <v>0</v>
      </c>
      <c r="BJ482" s="137">
        <f>K482*L482</f>
        <v>0</v>
      </c>
      <c r="BK482" s="137" t="s">
        <v>442</v>
      </c>
      <c r="BL482" s="137">
        <v>97</v>
      </c>
    </row>
    <row r="483" spans="1:64">
      <c r="A483" s="130"/>
      <c r="D483" s="157" t="s">
        <v>1365</v>
      </c>
      <c r="I483" s="156"/>
      <c r="K483" s="155">
        <v>8</v>
      </c>
      <c r="O483" s="154"/>
      <c r="P483" s="130"/>
    </row>
    <row r="484" spans="1:64">
      <c r="A484" s="147"/>
      <c r="B484" s="146" t="s">
        <v>1339</v>
      </c>
      <c r="C484" s="146" t="s">
        <v>1360</v>
      </c>
      <c r="D484" s="252" t="s">
        <v>1364</v>
      </c>
      <c r="E484" s="252"/>
      <c r="F484" s="252"/>
      <c r="G484" s="252"/>
      <c r="H484" s="252"/>
      <c r="I484" s="252"/>
      <c r="J484" s="145" t="s">
        <v>1305</v>
      </c>
      <c r="K484" s="145" t="s">
        <v>1305</v>
      </c>
      <c r="L484" s="145" t="s">
        <v>1305</v>
      </c>
      <c r="M484" s="143">
        <f>SUM(M485:M485)</f>
        <v>0</v>
      </c>
      <c r="N484" s="138"/>
      <c r="O484" s="144"/>
      <c r="P484" s="130"/>
      <c r="AI484" s="138" t="s">
        <v>1339</v>
      </c>
      <c r="AS484" s="143">
        <f>SUM(AJ485:AJ485)</f>
        <v>0</v>
      </c>
      <c r="AT484" s="143">
        <f>SUM(AK485:AK485)</f>
        <v>0</v>
      </c>
      <c r="AU484" s="143">
        <f>SUM(AL485:AL485)</f>
        <v>0</v>
      </c>
    </row>
    <row r="485" spans="1:64">
      <c r="A485" s="142" t="s">
        <v>1288</v>
      </c>
      <c r="B485" s="141" t="s">
        <v>1339</v>
      </c>
      <c r="C485" s="141" t="s">
        <v>1363</v>
      </c>
      <c r="D485" s="243" t="s">
        <v>1362</v>
      </c>
      <c r="E485" s="243"/>
      <c r="F485" s="243"/>
      <c r="G485" s="243"/>
      <c r="H485" s="243"/>
      <c r="I485" s="243"/>
      <c r="J485" s="141" t="s">
        <v>735</v>
      </c>
      <c r="K485" s="137">
        <v>13.681979999999999</v>
      </c>
      <c r="L485" s="203">
        <v>0</v>
      </c>
      <c r="M485" s="137">
        <f>K485*L485</f>
        <v>0</v>
      </c>
      <c r="N485" s="137">
        <v>0</v>
      </c>
      <c r="O485" s="140" t="s">
        <v>1340</v>
      </c>
      <c r="P485" s="130"/>
      <c r="Z485" s="137">
        <f>IF(AQ485="5",BJ485,0)</f>
        <v>0</v>
      </c>
      <c r="AB485" s="137">
        <f>IF(AQ485="1",BH485,0)</f>
        <v>0</v>
      </c>
      <c r="AC485" s="137">
        <f>IF(AQ485="1",BI485,0)</f>
        <v>0</v>
      </c>
      <c r="AD485" s="137">
        <f>IF(AQ485="7",BH485,0)</f>
        <v>0</v>
      </c>
      <c r="AE485" s="137">
        <f>IF(AQ485="7",BI485,0)</f>
        <v>0</v>
      </c>
      <c r="AF485" s="137">
        <f>IF(AQ485="2",BH485,0)</f>
        <v>0</v>
      </c>
      <c r="AG485" s="137">
        <f>IF(AQ485="2",BI485,0)</f>
        <v>0</v>
      </c>
      <c r="AH485" s="137">
        <f>IF(AQ485="0",BJ485,0)</f>
        <v>0</v>
      </c>
      <c r="AI485" s="138" t="s">
        <v>1339</v>
      </c>
      <c r="AJ485" s="137">
        <f>IF(AN485=0,M485,0)</f>
        <v>0</v>
      </c>
      <c r="AK485" s="137">
        <f>IF(AN485=15,M485,0)</f>
        <v>0</v>
      </c>
      <c r="AL485" s="137">
        <f>IF(AN485=21,M485,0)</f>
        <v>0</v>
      </c>
      <c r="AN485" s="137">
        <v>21</v>
      </c>
      <c r="AO485" s="137">
        <f>L485*0</f>
        <v>0</v>
      </c>
      <c r="AP485" s="137">
        <f>L485*(1-0)</f>
        <v>0</v>
      </c>
      <c r="AQ485" s="139" t="s">
        <v>357</v>
      </c>
      <c r="AV485" s="137">
        <f>AW485+AX485</f>
        <v>0</v>
      </c>
      <c r="AW485" s="137">
        <f>K485*AO485</f>
        <v>0</v>
      </c>
      <c r="AX485" s="137">
        <f>K485*AP485</f>
        <v>0</v>
      </c>
      <c r="AY485" s="139" t="s">
        <v>1361</v>
      </c>
      <c r="AZ485" s="139" t="s">
        <v>1337</v>
      </c>
      <c r="BA485" s="138" t="s">
        <v>1336</v>
      </c>
      <c r="BC485" s="137">
        <f>AW485+AX485</f>
        <v>0</v>
      </c>
      <c r="BD485" s="137">
        <f>L485/(100-BE485)*100</f>
        <v>0</v>
      </c>
      <c r="BE485" s="137">
        <v>0</v>
      </c>
      <c r="BF485" s="137">
        <f>485</f>
        <v>485</v>
      </c>
      <c r="BH485" s="137">
        <f>K485*AO485</f>
        <v>0</v>
      </c>
      <c r="BI485" s="137">
        <f>K485*AP485</f>
        <v>0</v>
      </c>
      <c r="BJ485" s="137">
        <f>K485*L485</f>
        <v>0</v>
      </c>
      <c r="BK485" s="137" t="s">
        <v>442</v>
      </c>
      <c r="BL485" s="137" t="s">
        <v>1360</v>
      </c>
    </row>
    <row r="486" spans="1:64">
      <c r="A486" s="147"/>
      <c r="B486" s="146" t="s">
        <v>1339</v>
      </c>
      <c r="C486" s="146" t="s">
        <v>1335</v>
      </c>
      <c r="D486" s="252" t="s">
        <v>1359</v>
      </c>
      <c r="E486" s="252"/>
      <c r="F486" s="252"/>
      <c r="G486" s="252"/>
      <c r="H486" s="252"/>
      <c r="I486" s="252"/>
      <c r="J486" s="145" t="s">
        <v>1305</v>
      </c>
      <c r="K486" s="145" t="s">
        <v>1305</v>
      </c>
      <c r="L486" s="145" t="s">
        <v>1305</v>
      </c>
      <c r="M486" s="143">
        <f>SUM(M487:M497)</f>
        <v>0</v>
      </c>
      <c r="N486" s="138"/>
      <c r="O486" s="144"/>
      <c r="P486" s="130"/>
      <c r="AI486" s="138" t="s">
        <v>1339</v>
      </c>
      <c r="AS486" s="143">
        <f>SUM(AJ487:AJ497)</f>
        <v>0</v>
      </c>
      <c r="AT486" s="143">
        <f>SUM(AK487:AK497)</f>
        <v>0</v>
      </c>
      <c r="AU486" s="143">
        <f>SUM(AL487:AL497)</f>
        <v>0</v>
      </c>
    </row>
    <row r="487" spans="1:64">
      <c r="A487" s="142" t="s">
        <v>82</v>
      </c>
      <c r="B487" s="141" t="s">
        <v>1339</v>
      </c>
      <c r="C487" s="141" t="s">
        <v>1358</v>
      </c>
      <c r="D487" s="243" t="s">
        <v>1357</v>
      </c>
      <c r="E487" s="243"/>
      <c r="F487" s="243"/>
      <c r="G487" s="243"/>
      <c r="H487" s="243"/>
      <c r="I487" s="243"/>
      <c r="J487" s="141" t="s">
        <v>735</v>
      </c>
      <c r="K487" s="137">
        <v>15.67</v>
      </c>
      <c r="L487" s="203">
        <v>0</v>
      </c>
      <c r="M487" s="137">
        <f>K487*L487</f>
        <v>0</v>
      </c>
      <c r="N487" s="137">
        <v>0</v>
      </c>
      <c r="O487" s="140" t="s">
        <v>1340</v>
      </c>
      <c r="P487" s="130"/>
      <c r="Z487" s="137">
        <f>IF(AQ487="5",BJ487,0)</f>
        <v>0</v>
      </c>
      <c r="AB487" s="137">
        <f>IF(AQ487="1",BH487,0)</f>
        <v>0</v>
      </c>
      <c r="AC487" s="137">
        <f>IF(AQ487="1",BI487,0)</f>
        <v>0</v>
      </c>
      <c r="AD487" s="137">
        <f>IF(AQ487="7",BH487,0)</f>
        <v>0</v>
      </c>
      <c r="AE487" s="137">
        <f>IF(AQ487="7",BI487,0)</f>
        <v>0</v>
      </c>
      <c r="AF487" s="137">
        <f>IF(AQ487="2",BH487,0)</f>
        <v>0</v>
      </c>
      <c r="AG487" s="137">
        <f>IF(AQ487="2",BI487,0)</f>
        <v>0</v>
      </c>
      <c r="AH487" s="137">
        <f>IF(AQ487="0",BJ487,0)</f>
        <v>0</v>
      </c>
      <c r="AI487" s="138" t="s">
        <v>1339</v>
      </c>
      <c r="AJ487" s="137">
        <f>IF(AN487=0,M487,0)</f>
        <v>0</v>
      </c>
      <c r="AK487" s="137">
        <f>IF(AN487=15,M487,0)</f>
        <v>0</v>
      </c>
      <c r="AL487" s="137">
        <f>IF(AN487=21,M487,0)</f>
        <v>0</v>
      </c>
      <c r="AN487" s="137">
        <v>21</v>
      </c>
      <c r="AO487" s="137">
        <f>L487*0</f>
        <v>0</v>
      </c>
      <c r="AP487" s="137">
        <f>L487*(1-0)</f>
        <v>0</v>
      </c>
      <c r="AQ487" s="139" t="s">
        <v>357</v>
      </c>
      <c r="AV487" s="137">
        <f>AW487+AX487</f>
        <v>0</v>
      </c>
      <c r="AW487" s="137">
        <f>K487*AO487</f>
        <v>0</v>
      </c>
      <c r="AX487" s="137">
        <f>K487*AP487</f>
        <v>0</v>
      </c>
      <c r="AY487" s="139" t="s">
        <v>1338</v>
      </c>
      <c r="AZ487" s="139" t="s">
        <v>1337</v>
      </c>
      <c r="BA487" s="138" t="s">
        <v>1336</v>
      </c>
      <c r="BC487" s="137">
        <f>AW487+AX487</f>
        <v>0</v>
      </c>
      <c r="BD487" s="137">
        <f>L487/(100-BE487)*100</f>
        <v>0</v>
      </c>
      <c r="BE487" s="137">
        <v>0</v>
      </c>
      <c r="BF487" s="137">
        <f>487</f>
        <v>487</v>
      </c>
      <c r="BH487" s="137">
        <f>K487*AO487</f>
        <v>0</v>
      </c>
      <c r="BI487" s="137">
        <f>K487*AP487</f>
        <v>0</v>
      </c>
      <c r="BJ487" s="137">
        <f>K487*L487</f>
        <v>0</v>
      </c>
      <c r="BK487" s="137" t="s">
        <v>442</v>
      </c>
      <c r="BL487" s="137" t="s">
        <v>1335</v>
      </c>
    </row>
    <row r="488" spans="1:64">
      <c r="A488" s="130"/>
      <c r="D488" s="157" t="s">
        <v>1356</v>
      </c>
      <c r="I488" s="156"/>
      <c r="K488" s="155">
        <v>15.67</v>
      </c>
      <c r="O488" s="154"/>
      <c r="P488" s="130"/>
    </row>
    <row r="489" spans="1:64">
      <c r="A489" s="142" t="s">
        <v>1287</v>
      </c>
      <c r="B489" s="141" t="s">
        <v>1339</v>
      </c>
      <c r="C489" s="141" t="s">
        <v>1355</v>
      </c>
      <c r="D489" s="243" t="s">
        <v>1354</v>
      </c>
      <c r="E489" s="243"/>
      <c r="F489" s="243"/>
      <c r="G489" s="243"/>
      <c r="H489" s="243"/>
      <c r="I489" s="243"/>
      <c r="J489" s="141" t="s">
        <v>735</v>
      </c>
      <c r="K489" s="137">
        <v>16.2</v>
      </c>
      <c r="L489" s="203">
        <v>0</v>
      </c>
      <c r="M489" s="137">
        <f>K489*L489</f>
        <v>0</v>
      </c>
      <c r="N489" s="137">
        <v>0</v>
      </c>
      <c r="O489" s="140" t="s">
        <v>1340</v>
      </c>
      <c r="P489" s="130"/>
      <c r="Z489" s="137">
        <f>IF(AQ489="5",BJ489,0)</f>
        <v>0</v>
      </c>
      <c r="AB489" s="137">
        <f>IF(AQ489="1",BH489,0)</f>
        <v>0</v>
      </c>
      <c r="AC489" s="137">
        <f>IF(AQ489="1",BI489,0)</f>
        <v>0</v>
      </c>
      <c r="AD489" s="137">
        <f>IF(AQ489="7",BH489,0)</f>
        <v>0</v>
      </c>
      <c r="AE489" s="137">
        <f>IF(AQ489="7",BI489,0)</f>
        <v>0</v>
      </c>
      <c r="AF489" s="137">
        <f>IF(AQ489="2",BH489,0)</f>
        <v>0</v>
      </c>
      <c r="AG489" s="137">
        <f>IF(AQ489="2",BI489,0)</f>
        <v>0</v>
      </c>
      <c r="AH489" s="137">
        <f>IF(AQ489="0",BJ489,0)</f>
        <v>0</v>
      </c>
      <c r="AI489" s="138" t="s">
        <v>1339</v>
      </c>
      <c r="AJ489" s="137">
        <f>IF(AN489=0,M489,0)</f>
        <v>0</v>
      </c>
      <c r="AK489" s="137">
        <f>IF(AN489=15,M489,0)</f>
        <v>0</v>
      </c>
      <c r="AL489" s="137">
        <f>IF(AN489=21,M489,0)</f>
        <v>0</v>
      </c>
      <c r="AN489" s="137">
        <v>21</v>
      </c>
      <c r="AO489" s="137">
        <f>L489*0</f>
        <v>0</v>
      </c>
      <c r="AP489" s="137">
        <f>L489*(1-0)</f>
        <v>0</v>
      </c>
      <c r="AQ489" s="139" t="s">
        <v>357</v>
      </c>
      <c r="AV489" s="137">
        <f>AW489+AX489</f>
        <v>0</v>
      </c>
      <c r="AW489" s="137">
        <f>K489*AO489</f>
        <v>0</v>
      </c>
      <c r="AX489" s="137">
        <f>K489*AP489</f>
        <v>0</v>
      </c>
      <c r="AY489" s="139" t="s">
        <v>1338</v>
      </c>
      <c r="AZ489" s="139" t="s">
        <v>1337</v>
      </c>
      <c r="BA489" s="138" t="s">
        <v>1336</v>
      </c>
      <c r="BC489" s="137">
        <f>AW489+AX489</f>
        <v>0</v>
      </c>
      <c r="BD489" s="137">
        <f>L489/(100-BE489)*100</f>
        <v>0</v>
      </c>
      <c r="BE489" s="137">
        <v>0</v>
      </c>
      <c r="BF489" s="137">
        <f>489</f>
        <v>489</v>
      </c>
      <c r="BH489" s="137">
        <f>K489*AO489</f>
        <v>0</v>
      </c>
      <c r="BI489" s="137">
        <f>K489*AP489</f>
        <v>0</v>
      </c>
      <c r="BJ489" s="137">
        <f>K489*L489</f>
        <v>0</v>
      </c>
      <c r="BK489" s="137" t="s">
        <v>442</v>
      </c>
      <c r="BL489" s="137" t="s">
        <v>1335</v>
      </c>
    </row>
    <row r="490" spans="1:64">
      <c r="A490" s="130"/>
      <c r="D490" s="157" t="s">
        <v>1353</v>
      </c>
      <c r="I490" s="156"/>
      <c r="K490" s="155">
        <v>16.2</v>
      </c>
      <c r="O490" s="154"/>
      <c r="P490" s="130"/>
    </row>
    <row r="491" spans="1:64">
      <c r="A491" s="142" t="s">
        <v>78</v>
      </c>
      <c r="B491" s="141" t="s">
        <v>1339</v>
      </c>
      <c r="C491" s="141" t="s">
        <v>1352</v>
      </c>
      <c r="D491" s="243" t="s">
        <v>1351</v>
      </c>
      <c r="E491" s="243"/>
      <c r="F491" s="243"/>
      <c r="G491" s="243"/>
      <c r="H491" s="243"/>
      <c r="I491" s="243"/>
      <c r="J491" s="141" t="s">
        <v>735</v>
      </c>
      <c r="K491" s="137">
        <v>162</v>
      </c>
      <c r="L491" s="203">
        <v>0</v>
      </c>
      <c r="M491" s="137">
        <f>K491*L491</f>
        <v>0</v>
      </c>
      <c r="N491" s="137">
        <v>0</v>
      </c>
      <c r="O491" s="140" t="s">
        <v>1340</v>
      </c>
      <c r="P491" s="130"/>
      <c r="Z491" s="137">
        <f>IF(AQ491="5",BJ491,0)</f>
        <v>0</v>
      </c>
      <c r="AB491" s="137">
        <f>IF(AQ491="1",BH491,0)</f>
        <v>0</v>
      </c>
      <c r="AC491" s="137">
        <f>IF(AQ491="1",BI491,0)</f>
        <v>0</v>
      </c>
      <c r="AD491" s="137">
        <f>IF(AQ491="7",BH491,0)</f>
        <v>0</v>
      </c>
      <c r="AE491" s="137">
        <f>IF(AQ491="7",BI491,0)</f>
        <v>0</v>
      </c>
      <c r="AF491" s="137">
        <f>IF(AQ491="2",BH491,0)</f>
        <v>0</v>
      </c>
      <c r="AG491" s="137">
        <f>IF(AQ491="2",BI491,0)</f>
        <v>0</v>
      </c>
      <c r="AH491" s="137">
        <f>IF(AQ491="0",BJ491,0)</f>
        <v>0</v>
      </c>
      <c r="AI491" s="138" t="s">
        <v>1339</v>
      </c>
      <c r="AJ491" s="137">
        <f>IF(AN491=0,M491,0)</f>
        <v>0</v>
      </c>
      <c r="AK491" s="137">
        <f>IF(AN491=15,M491,0)</f>
        <v>0</v>
      </c>
      <c r="AL491" s="137">
        <f>IF(AN491=21,M491,0)</f>
        <v>0</v>
      </c>
      <c r="AN491" s="137">
        <v>21</v>
      </c>
      <c r="AO491" s="137">
        <f>L491*0</f>
        <v>0</v>
      </c>
      <c r="AP491" s="137">
        <f>L491*(1-0)</f>
        <v>0</v>
      </c>
      <c r="AQ491" s="139" t="s">
        <v>357</v>
      </c>
      <c r="AV491" s="137">
        <f>AW491+AX491</f>
        <v>0</v>
      </c>
      <c r="AW491" s="137">
        <f>K491*AO491</f>
        <v>0</v>
      </c>
      <c r="AX491" s="137">
        <f>K491*AP491</f>
        <v>0</v>
      </c>
      <c r="AY491" s="139" t="s">
        <v>1338</v>
      </c>
      <c r="AZ491" s="139" t="s">
        <v>1337</v>
      </c>
      <c r="BA491" s="138" t="s">
        <v>1336</v>
      </c>
      <c r="BC491" s="137">
        <f>AW491+AX491</f>
        <v>0</v>
      </c>
      <c r="BD491" s="137">
        <f>L491/(100-BE491)*100</f>
        <v>0</v>
      </c>
      <c r="BE491" s="137">
        <v>0</v>
      </c>
      <c r="BF491" s="137">
        <f>491</f>
        <v>491</v>
      </c>
      <c r="BH491" s="137">
        <f>K491*AO491</f>
        <v>0</v>
      </c>
      <c r="BI491" s="137">
        <f>K491*AP491</f>
        <v>0</v>
      </c>
      <c r="BJ491" s="137">
        <f>K491*L491</f>
        <v>0</v>
      </c>
      <c r="BK491" s="137" t="s">
        <v>442</v>
      </c>
      <c r="BL491" s="137" t="s">
        <v>1335</v>
      </c>
    </row>
    <row r="492" spans="1:64">
      <c r="A492" s="130"/>
      <c r="D492" s="157" t="s">
        <v>1350</v>
      </c>
      <c r="I492" s="156"/>
      <c r="K492" s="155">
        <v>162</v>
      </c>
      <c r="O492" s="154"/>
      <c r="P492" s="130"/>
    </row>
    <row r="493" spans="1:64">
      <c r="A493" s="142" t="s">
        <v>1286</v>
      </c>
      <c r="B493" s="141" t="s">
        <v>1339</v>
      </c>
      <c r="C493" s="141" t="s">
        <v>1349</v>
      </c>
      <c r="D493" s="243" t="s">
        <v>1348</v>
      </c>
      <c r="E493" s="243"/>
      <c r="F493" s="243"/>
      <c r="G493" s="243"/>
      <c r="H493" s="243"/>
      <c r="I493" s="243"/>
      <c r="J493" s="141" t="s">
        <v>735</v>
      </c>
      <c r="K493" s="137">
        <v>16.2</v>
      </c>
      <c r="L493" s="203">
        <v>0</v>
      </c>
      <c r="M493" s="137">
        <f>K493*L493</f>
        <v>0</v>
      </c>
      <c r="N493" s="137">
        <v>0</v>
      </c>
      <c r="O493" s="140" t="s">
        <v>1340</v>
      </c>
      <c r="P493" s="130"/>
      <c r="Z493" s="137">
        <f>IF(AQ493="5",BJ493,0)</f>
        <v>0</v>
      </c>
      <c r="AB493" s="137">
        <f>IF(AQ493="1",BH493,0)</f>
        <v>0</v>
      </c>
      <c r="AC493" s="137">
        <f>IF(AQ493="1",BI493,0)</f>
        <v>0</v>
      </c>
      <c r="AD493" s="137">
        <f>IF(AQ493="7",BH493,0)</f>
        <v>0</v>
      </c>
      <c r="AE493" s="137">
        <f>IF(AQ493="7",BI493,0)</f>
        <v>0</v>
      </c>
      <c r="AF493" s="137">
        <f>IF(AQ493="2",BH493,0)</f>
        <v>0</v>
      </c>
      <c r="AG493" s="137">
        <f>IF(AQ493="2",BI493,0)</f>
        <v>0</v>
      </c>
      <c r="AH493" s="137">
        <f>IF(AQ493="0",BJ493,0)</f>
        <v>0</v>
      </c>
      <c r="AI493" s="138" t="s">
        <v>1339</v>
      </c>
      <c r="AJ493" s="137">
        <f>IF(AN493=0,M493,0)</f>
        <v>0</v>
      </c>
      <c r="AK493" s="137">
        <f>IF(AN493=15,M493,0)</f>
        <v>0</v>
      </c>
      <c r="AL493" s="137">
        <f>IF(AN493=21,M493,0)</f>
        <v>0</v>
      </c>
      <c r="AN493" s="137">
        <v>21</v>
      </c>
      <c r="AO493" s="137">
        <f>L493*0</f>
        <v>0</v>
      </c>
      <c r="AP493" s="137">
        <f>L493*(1-0)</f>
        <v>0</v>
      </c>
      <c r="AQ493" s="139" t="s">
        <v>357</v>
      </c>
      <c r="AV493" s="137">
        <f>AW493+AX493</f>
        <v>0</v>
      </c>
      <c r="AW493" s="137">
        <f>K493*AO493</f>
        <v>0</v>
      </c>
      <c r="AX493" s="137">
        <f>K493*AP493</f>
        <v>0</v>
      </c>
      <c r="AY493" s="139" t="s">
        <v>1338</v>
      </c>
      <c r="AZ493" s="139" t="s">
        <v>1337</v>
      </c>
      <c r="BA493" s="138" t="s">
        <v>1336</v>
      </c>
      <c r="BC493" s="137">
        <f>AW493+AX493</f>
        <v>0</v>
      </c>
      <c r="BD493" s="137">
        <f>L493/(100-BE493)*100</f>
        <v>0</v>
      </c>
      <c r="BE493" s="137">
        <v>0</v>
      </c>
      <c r="BF493" s="137">
        <f>493</f>
        <v>493</v>
      </c>
      <c r="BH493" s="137">
        <f>K493*AO493</f>
        <v>0</v>
      </c>
      <c r="BI493" s="137">
        <f>K493*AP493</f>
        <v>0</v>
      </c>
      <c r="BJ493" s="137">
        <f>K493*L493</f>
        <v>0</v>
      </c>
      <c r="BK493" s="137" t="s">
        <v>442</v>
      </c>
      <c r="BL493" s="137" t="s">
        <v>1335</v>
      </c>
    </row>
    <row r="494" spans="1:64">
      <c r="A494" s="130"/>
      <c r="D494" s="157" t="s">
        <v>1347</v>
      </c>
      <c r="I494" s="156"/>
      <c r="K494" s="155">
        <v>16.2</v>
      </c>
      <c r="O494" s="154"/>
      <c r="P494" s="130"/>
    </row>
    <row r="495" spans="1:64">
      <c r="A495" s="142" t="s">
        <v>74</v>
      </c>
      <c r="B495" s="141" t="s">
        <v>1339</v>
      </c>
      <c r="C495" s="141" t="s">
        <v>1346</v>
      </c>
      <c r="D495" s="243" t="s">
        <v>1345</v>
      </c>
      <c r="E495" s="243"/>
      <c r="F495" s="243"/>
      <c r="G495" s="243"/>
      <c r="H495" s="243"/>
      <c r="I495" s="243"/>
      <c r="J495" s="141" t="s">
        <v>735</v>
      </c>
      <c r="K495" s="137">
        <v>15.67</v>
      </c>
      <c r="L495" s="203">
        <v>0</v>
      </c>
      <c r="M495" s="137">
        <f>K495*L495</f>
        <v>0</v>
      </c>
      <c r="N495" s="137">
        <v>0</v>
      </c>
      <c r="O495" s="140" t="s">
        <v>1344</v>
      </c>
      <c r="P495" s="130"/>
      <c r="Z495" s="137">
        <f>IF(AQ495="5",BJ495,0)</f>
        <v>0</v>
      </c>
      <c r="AB495" s="137">
        <f>IF(AQ495="1",BH495,0)</f>
        <v>0</v>
      </c>
      <c r="AC495" s="137">
        <f>IF(AQ495="1",BI495,0)</f>
        <v>0</v>
      </c>
      <c r="AD495" s="137">
        <f>IF(AQ495="7",BH495,0)</f>
        <v>0</v>
      </c>
      <c r="AE495" s="137">
        <f>IF(AQ495="7",BI495,0)</f>
        <v>0</v>
      </c>
      <c r="AF495" s="137">
        <f>IF(AQ495="2",BH495,0)</f>
        <v>0</v>
      </c>
      <c r="AG495" s="137">
        <f>IF(AQ495="2",BI495,0)</f>
        <v>0</v>
      </c>
      <c r="AH495" s="137">
        <f>IF(AQ495="0",BJ495,0)</f>
        <v>0</v>
      </c>
      <c r="AI495" s="138" t="s">
        <v>1339</v>
      </c>
      <c r="AJ495" s="137">
        <f>IF(AN495=0,M495,0)</f>
        <v>0</v>
      </c>
      <c r="AK495" s="137">
        <f>IF(AN495=15,M495,0)</f>
        <v>0</v>
      </c>
      <c r="AL495" s="137">
        <f>IF(AN495=21,M495,0)</f>
        <v>0</v>
      </c>
      <c r="AN495" s="137">
        <v>21</v>
      </c>
      <c r="AO495" s="137">
        <f>L495*0</f>
        <v>0</v>
      </c>
      <c r="AP495" s="137">
        <f>L495*(1-0)</f>
        <v>0</v>
      </c>
      <c r="AQ495" s="139" t="s">
        <v>357</v>
      </c>
      <c r="AV495" s="137">
        <f>AW495+AX495</f>
        <v>0</v>
      </c>
      <c r="AW495" s="137">
        <f>K495*AO495</f>
        <v>0</v>
      </c>
      <c r="AX495" s="137">
        <f>K495*AP495</f>
        <v>0</v>
      </c>
      <c r="AY495" s="139" t="s">
        <v>1338</v>
      </c>
      <c r="AZ495" s="139" t="s">
        <v>1337</v>
      </c>
      <c r="BA495" s="138" t="s">
        <v>1336</v>
      </c>
      <c r="BC495" s="137">
        <f>AW495+AX495</f>
        <v>0</v>
      </c>
      <c r="BD495" s="137">
        <f>L495/(100-BE495)*100</f>
        <v>0</v>
      </c>
      <c r="BE495" s="137">
        <v>0</v>
      </c>
      <c r="BF495" s="137">
        <f>495</f>
        <v>495</v>
      </c>
      <c r="BH495" s="137">
        <f>K495*AO495</f>
        <v>0</v>
      </c>
      <c r="BI495" s="137">
        <f>K495*AP495</f>
        <v>0</v>
      </c>
      <c r="BJ495" s="137">
        <f>K495*L495</f>
        <v>0</v>
      </c>
      <c r="BK495" s="137" t="s">
        <v>442</v>
      </c>
      <c r="BL495" s="137" t="s">
        <v>1335</v>
      </c>
    </row>
    <row r="496" spans="1:64">
      <c r="A496" s="130"/>
      <c r="D496" s="157" t="s">
        <v>1343</v>
      </c>
      <c r="I496" s="156"/>
      <c r="K496" s="155">
        <v>15.67</v>
      </c>
      <c r="O496" s="154"/>
      <c r="P496" s="130"/>
    </row>
    <row r="497" spans="1:64">
      <c r="A497" s="142" t="s">
        <v>1285</v>
      </c>
      <c r="B497" s="141" t="s">
        <v>1339</v>
      </c>
      <c r="C497" s="141" t="s">
        <v>1342</v>
      </c>
      <c r="D497" s="243" t="s">
        <v>1341</v>
      </c>
      <c r="E497" s="243"/>
      <c r="F497" s="243"/>
      <c r="G497" s="243"/>
      <c r="H497" s="243"/>
      <c r="I497" s="243"/>
      <c r="J497" s="141" t="s">
        <v>735</v>
      </c>
      <c r="K497" s="137">
        <v>0.53</v>
      </c>
      <c r="L497" s="203">
        <v>0</v>
      </c>
      <c r="M497" s="137">
        <f>K497*L497</f>
        <v>0</v>
      </c>
      <c r="N497" s="137">
        <v>0</v>
      </c>
      <c r="O497" s="140" t="s">
        <v>1340</v>
      </c>
      <c r="P497" s="130"/>
      <c r="Z497" s="137">
        <f>IF(AQ497="5",BJ497,0)</f>
        <v>0</v>
      </c>
      <c r="AB497" s="137">
        <f>IF(AQ497="1",BH497,0)</f>
        <v>0</v>
      </c>
      <c r="AC497" s="137">
        <f>IF(AQ497="1",BI497,0)</f>
        <v>0</v>
      </c>
      <c r="AD497" s="137">
        <f>IF(AQ497="7",BH497,0)</f>
        <v>0</v>
      </c>
      <c r="AE497" s="137">
        <f>IF(AQ497="7",BI497,0)</f>
        <v>0</v>
      </c>
      <c r="AF497" s="137">
        <f>IF(AQ497="2",BH497,0)</f>
        <v>0</v>
      </c>
      <c r="AG497" s="137">
        <f>IF(AQ497="2",BI497,0)</f>
        <v>0</v>
      </c>
      <c r="AH497" s="137">
        <f>IF(AQ497="0",BJ497,0)</f>
        <v>0</v>
      </c>
      <c r="AI497" s="138" t="s">
        <v>1339</v>
      </c>
      <c r="AJ497" s="137">
        <f>IF(AN497=0,M497,0)</f>
        <v>0</v>
      </c>
      <c r="AK497" s="137">
        <f>IF(AN497=15,M497,0)</f>
        <v>0</v>
      </c>
      <c r="AL497" s="137">
        <f>IF(AN497=21,M497,0)</f>
        <v>0</v>
      </c>
      <c r="AN497" s="137">
        <v>21</v>
      </c>
      <c r="AO497" s="137">
        <f>L497*0</f>
        <v>0</v>
      </c>
      <c r="AP497" s="137">
        <f>L497*(1-0)</f>
        <v>0</v>
      </c>
      <c r="AQ497" s="139" t="s">
        <v>357</v>
      </c>
      <c r="AV497" s="137">
        <f>AW497+AX497</f>
        <v>0</v>
      </c>
      <c r="AW497" s="137">
        <f>K497*AO497</f>
        <v>0</v>
      </c>
      <c r="AX497" s="137">
        <f>K497*AP497</f>
        <v>0</v>
      </c>
      <c r="AY497" s="139" t="s">
        <v>1338</v>
      </c>
      <c r="AZ497" s="139" t="s">
        <v>1337</v>
      </c>
      <c r="BA497" s="138" t="s">
        <v>1336</v>
      </c>
      <c r="BC497" s="137">
        <f>AW497+AX497</f>
        <v>0</v>
      </c>
      <c r="BD497" s="137">
        <f>L497/(100-BE497)*100</f>
        <v>0</v>
      </c>
      <c r="BE497" s="137">
        <v>0</v>
      </c>
      <c r="BF497" s="137">
        <f>497</f>
        <v>497</v>
      </c>
      <c r="BH497" s="137">
        <f>K497*AO497</f>
        <v>0</v>
      </c>
      <c r="BI497" s="137">
        <f>K497*AP497</f>
        <v>0</v>
      </c>
      <c r="BJ497" s="137">
        <f>K497*L497</f>
        <v>0</v>
      </c>
      <c r="BK497" s="137" t="s">
        <v>442</v>
      </c>
      <c r="BL497" s="137" t="s">
        <v>1335</v>
      </c>
    </row>
    <row r="498" spans="1:64">
      <c r="A498" s="130"/>
      <c r="D498" s="157" t="s">
        <v>1334</v>
      </c>
      <c r="I498" s="156"/>
      <c r="K498" s="155">
        <v>0.53</v>
      </c>
      <c r="O498" s="154"/>
      <c r="P498" s="130"/>
    </row>
    <row r="499" spans="1:64">
      <c r="A499" s="153"/>
      <c r="B499" s="152" t="s">
        <v>1329</v>
      </c>
      <c r="C499" s="152"/>
      <c r="D499" s="255" t="s">
        <v>1333</v>
      </c>
      <c r="E499" s="255"/>
      <c r="F499" s="255"/>
      <c r="G499" s="255"/>
      <c r="H499" s="255"/>
      <c r="I499" s="255"/>
      <c r="J499" s="151" t="s">
        <v>1305</v>
      </c>
      <c r="K499" s="151" t="s">
        <v>1305</v>
      </c>
      <c r="L499" s="151" t="s">
        <v>1305</v>
      </c>
      <c r="M499" s="150">
        <f>M500</f>
        <v>0</v>
      </c>
      <c r="N499" s="149"/>
      <c r="O499" s="148"/>
      <c r="P499" s="130"/>
    </row>
    <row r="500" spans="1:64">
      <c r="A500" s="147"/>
      <c r="B500" s="146" t="s">
        <v>1329</v>
      </c>
      <c r="C500" s="146" t="s">
        <v>1325</v>
      </c>
      <c r="D500" s="252" t="s">
        <v>1332</v>
      </c>
      <c r="E500" s="252"/>
      <c r="F500" s="252"/>
      <c r="G500" s="252"/>
      <c r="H500" s="252"/>
      <c r="I500" s="252"/>
      <c r="J500" s="145" t="s">
        <v>1305</v>
      </c>
      <c r="K500" s="145" t="s">
        <v>1305</v>
      </c>
      <c r="L500" s="145" t="s">
        <v>1305</v>
      </c>
      <c r="M500" s="143">
        <f>SUM(M501:M501)</f>
        <v>0</v>
      </c>
      <c r="N500" s="138"/>
      <c r="O500" s="144"/>
      <c r="P500" s="130"/>
      <c r="AI500" s="138" t="s">
        <v>1329</v>
      </c>
      <c r="AS500" s="143">
        <f>SUM(AJ501:AJ501)</f>
        <v>0</v>
      </c>
      <c r="AT500" s="143">
        <f>SUM(AK501:AK501)</f>
        <v>0</v>
      </c>
      <c r="AU500" s="143">
        <f>SUM(AL501:AL501)</f>
        <v>0</v>
      </c>
    </row>
    <row r="501" spans="1:64">
      <c r="A501" s="142" t="s">
        <v>70</v>
      </c>
      <c r="B501" s="141" t="s">
        <v>1329</v>
      </c>
      <c r="C501" s="141" t="s">
        <v>1331</v>
      </c>
      <c r="D501" s="243" t="s">
        <v>1330</v>
      </c>
      <c r="E501" s="243"/>
      <c r="F501" s="243"/>
      <c r="G501" s="243"/>
      <c r="H501" s="243"/>
      <c r="I501" s="243"/>
      <c r="J501" s="141" t="s">
        <v>8</v>
      </c>
      <c r="K501" s="137">
        <v>1</v>
      </c>
      <c r="L501" s="137">
        <v>0</v>
      </c>
      <c r="M501" s="137">
        <f>K501*L501</f>
        <v>0</v>
      </c>
      <c r="N501" s="137">
        <v>0</v>
      </c>
      <c r="O501" s="140" t="s">
        <v>1302</v>
      </c>
      <c r="P501" s="130"/>
      <c r="Z501" s="137">
        <f>IF(AQ501="5",BJ501,0)</f>
        <v>0</v>
      </c>
      <c r="AB501" s="137">
        <f>IF(AQ501="1",BH501,0)</f>
        <v>0</v>
      </c>
      <c r="AC501" s="137">
        <f>IF(AQ501="1",BI501,0)</f>
        <v>0</v>
      </c>
      <c r="AD501" s="137">
        <f>IF(AQ501="7",BH501,0)</f>
        <v>0</v>
      </c>
      <c r="AE501" s="137">
        <f>IF(AQ501="7",BI501,0)</f>
        <v>0</v>
      </c>
      <c r="AF501" s="137">
        <f>IF(AQ501="2",BH501,0)</f>
        <v>0</v>
      </c>
      <c r="AG501" s="137">
        <f>IF(AQ501="2",BI501,0)</f>
        <v>0</v>
      </c>
      <c r="AH501" s="137">
        <f>IF(AQ501="0",BJ501,0)</f>
        <v>0</v>
      </c>
      <c r="AI501" s="138" t="s">
        <v>1329</v>
      </c>
      <c r="AJ501" s="137">
        <f>IF(AN501=0,M501,0)</f>
        <v>0</v>
      </c>
      <c r="AK501" s="137">
        <f>IF(AN501=15,M501,0)</f>
        <v>0</v>
      </c>
      <c r="AL501" s="137">
        <f>IF(AN501=21,M501,0)</f>
        <v>0</v>
      </c>
      <c r="AN501" s="137">
        <v>21</v>
      </c>
      <c r="AO501" s="137">
        <f>L501*0</f>
        <v>0</v>
      </c>
      <c r="AP501" s="137">
        <f>L501*(1-0)</f>
        <v>0</v>
      </c>
      <c r="AQ501" s="139" t="s">
        <v>365</v>
      </c>
      <c r="AV501" s="137">
        <f>AW501+AX501</f>
        <v>0</v>
      </c>
      <c r="AW501" s="137">
        <f>K501*AO501</f>
        <v>0</v>
      </c>
      <c r="AX501" s="137">
        <f>K501*AP501</f>
        <v>0</v>
      </c>
      <c r="AY501" s="139" t="s">
        <v>1328</v>
      </c>
      <c r="AZ501" s="139" t="s">
        <v>1327</v>
      </c>
      <c r="BA501" s="138" t="s">
        <v>1326</v>
      </c>
      <c r="BC501" s="137">
        <f>AW501+AX501</f>
        <v>0</v>
      </c>
      <c r="BD501" s="137">
        <f>L501/(100-BE501)*100</f>
        <v>0</v>
      </c>
      <c r="BE501" s="137">
        <v>0</v>
      </c>
      <c r="BF501" s="137">
        <f>501</f>
        <v>501</v>
      </c>
      <c r="BH501" s="137">
        <f>K501*AO501</f>
        <v>0</v>
      </c>
      <c r="BI501" s="137">
        <f>K501*AP501</f>
        <v>0</v>
      </c>
      <c r="BJ501" s="137">
        <f>K501*L501</f>
        <v>0</v>
      </c>
      <c r="BK501" s="137" t="s">
        <v>442</v>
      </c>
      <c r="BL501" s="137" t="s">
        <v>1325</v>
      </c>
    </row>
    <row r="502" spans="1:64" ht="14.65" customHeight="1">
      <c r="A502" s="130"/>
      <c r="D502" s="251" t="s">
        <v>1324</v>
      </c>
      <c r="E502" s="251"/>
      <c r="F502" s="251"/>
      <c r="G502" s="251"/>
      <c r="H502" s="251"/>
      <c r="I502" s="251"/>
      <c r="J502" s="251"/>
      <c r="K502" s="251"/>
      <c r="L502" s="251"/>
      <c r="M502" s="251"/>
      <c r="N502" s="251"/>
      <c r="O502" s="251"/>
      <c r="P502" s="130"/>
    </row>
    <row r="503" spans="1:64">
      <c r="A503" s="130"/>
      <c r="D503" s="157" t="s">
        <v>2</v>
      </c>
      <c r="I503" s="156"/>
      <c r="K503" s="155">
        <v>1</v>
      </c>
      <c r="O503" s="154"/>
      <c r="P503" s="130"/>
    </row>
    <row r="504" spans="1:64">
      <c r="A504" s="153"/>
      <c r="B504" s="152" t="s">
        <v>1320</v>
      </c>
      <c r="C504" s="152"/>
      <c r="D504" s="255" t="s">
        <v>1321</v>
      </c>
      <c r="E504" s="255"/>
      <c r="F504" s="255"/>
      <c r="G504" s="255"/>
      <c r="H504" s="255"/>
      <c r="I504" s="255"/>
      <c r="J504" s="151" t="s">
        <v>1305</v>
      </c>
      <c r="K504" s="151" t="s">
        <v>1305</v>
      </c>
      <c r="L504" s="151" t="s">
        <v>1305</v>
      </c>
      <c r="M504" s="150">
        <f>M505</f>
        <v>0</v>
      </c>
      <c r="N504" s="149"/>
      <c r="O504" s="148"/>
      <c r="P504" s="130"/>
    </row>
    <row r="505" spans="1:64">
      <c r="A505" s="147"/>
      <c r="B505" s="146" t="s">
        <v>1320</v>
      </c>
      <c r="C505" s="146" t="s">
        <v>147</v>
      </c>
      <c r="D505" s="252" t="s">
        <v>1323</v>
      </c>
      <c r="E505" s="252"/>
      <c r="F505" s="252"/>
      <c r="G505" s="252"/>
      <c r="H505" s="252"/>
      <c r="I505" s="252"/>
      <c r="J505" s="145" t="s">
        <v>1305</v>
      </c>
      <c r="K505" s="145" t="s">
        <v>1305</v>
      </c>
      <c r="L505" s="145" t="s">
        <v>1305</v>
      </c>
      <c r="M505" s="143">
        <f>SUM(M506:M506)</f>
        <v>0</v>
      </c>
      <c r="N505" s="138"/>
      <c r="O505" s="144"/>
      <c r="P505" s="130"/>
      <c r="AI505" s="138" t="s">
        <v>1320</v>
      </c>
      <c r="AS505" s="143">
        <f>SUM(AJ506:AJ506)</f>
        <v>0</v>
      </c>
      <c r="AT505" s="143">
        <f>SUM(AK506:AK506)</f>
        <v>0</v>
      </c>
      <c r="AU505" s="143">
        <f>SUM(AL506:AL506)</f>
        <v>0</v>
      </c>
    </row>
    <row r="506" spans="1:64">
      <c r="A506" s="142" t="s">
        <v>1284</v>
      </c>
      <c r="B506" s="141" t="s">
        <v>1320</v>
      </c>
      <c r="C506" s="141" t="s">
        <v>1322</v>
      </c>
      <c r="D506" s="243" t="s">
        <v>1321</v>
      </c>
      <c r="E506" s="243"/>
      <c r="F506" s="243"/>
      <c r="G506" s="243"/>
      <c r="H506" s="243"/>
      <c r="I506" s="243"/>
      <c r="J506" s="141" t="s">
        <v>1312</v>
      </c>
      <c r="K506" s="137">
        <v>1</v>
      </c>
      <c r="L506" s="137">
        <v>0</v>
      </c>
      <c r="M506" s="137">
        <f>K506*L506</f>
        <v>0</v>
      </c>
      <c r="N506" s="137">
        <v>0</v>
      </c>
      <c r="O506" s="140" t="s">
        <v>1302</v>
      </c>
      <c r="P506" s="130"/>
      <c r="Z506" s="137">
        <f>IF(AQ506="5",BJ506,0)</f>
        <v>0</v>
      </c>
      <c r="AB506" s="137">
        <f>IF(AQ506="1",BH506,0)</f>
        <v>0</v>
      </c>
      <c r="AC506" s="137">
        <f>IF(AQ506="1",BI506,0)</f>
        <v>0</v>
      </c>
      <c r="AD506" s="137">
        <f>IF(AQ506="7",BH506,0)</f>
        <v>0</v>
      </c>
      <c r="AE506" s="137">
        <f>IF(AQ506="7",BI506,0)</f>
        <v>0</v>
      </c>
      <c r="AF506" s="137">
        <f>IF(AQ506="2",BH506,0)</f>
        <v>0</v>
      </c>
      <c r="AG506" s="137">
        <f>IF(AQ506="2",BI506,0)</f>
        <v>0</v>
      </c>
      <c r="AH506" s="137">
        <f>IF(AQ506="0",BJ506,0)</f>
        <v>0</v>
      </c>
      <c r="AI506" s="138" t="s">
        <v>1320</v>
      </c>
      <c r="AJ506" s="137">
        <f>IF(AN506=0,M506,0)</f>
        <v>0</v>
      </c>
      <c r="AK506" s="137">
        <f>IF(AN506=15,M506,0)</f>
        <v>0</v>
      </c>
      <c r="AL506" s="137">
        <f>IF(AN506=21,M506,0)</f>
        <v>0</v>
      </c>
      <c r="AN506" s="137">
        <v>21</v>
      </c>
      <c r="AO506" s="137">
        <f>L506*0</f>
        <v>0</v>
      </c>
      <c r="AP506" s="137">
        <f>L506*(1-0)</f>
        <v>0</v>
      </c>
      <c r="AQ506" s="139" t="s">
        <v>352</v>
      </c>
      <c r="AV506" s="137">
        <f>AW506+AX506</f>
        <v>0</v>
      </c>
      <c r="AW506" s="137">
        <f>K506*AO506</f>
        <v>0</v>
      </c>
      <c r="AX506" s="137">
        <f>K506*AP506</f>
        <v>0</v>
      </c>
      <c r="AY506" s="139" t="s">
        <v>1319</v>
      </c>
      <c r="AZ506" s="139" t="s">
        <v>1318</v>
      </c>
      <c r="BA506" s="138" t="s">
        <v>1317</v>
      </c>
      <c r="BC506" s="137">
        <f>AW506+AX506</f>
        <v>0</v>
      </c>
      <c r="BD506" s="137">
        <f>L506/(100-BE506)*100</f>
        <v>0</v>
      </c>
      <c r="BE506" s="137">
        <v>0</v>
      </c>
      <c r="BF506" s="137">
        <f>506</f>
        <v>506</v>
      </c>
      <c r="BH506" s="137">
        <f>K506*AO506</f>
        <v>0</v>
      </c>
      <c r="BI506" s="137">
        <f>K506*AP506</f>
        <v>0</v>
      </c>
      <c r="BJ506" s="137">
        <f>K506*L506</f>
        <v>0</v>
      </c>
      <c r="BK506" s="137" t="s">
        <v>442</v>
      </c>
      <c r="BL506" s="137">
        <v>73</v>
      </c>
    </row>
    <row r="507" spans="1:64" ht="14.65" customHeight="1">
      <c r="A507" s="130"/>
      <c r="D507" s="251" t="s">
        <v>1296</v>
      </c>
      <c r="E507" s="251"/>
      <c r="F507" s="251"/>
      <c r="G507" s="251"/>
      <c r="H507" s="251"/>
      <c r="I507" s="251"/>
      <c r="J507" s="251"/>
      <c r="K507" s="251"/>
      <c r="L507" s="251"/>
      <c r="M507" s="251"/>
      <c r="N507" s="251"/>
      <c r="O507" s="251"/>
      <c r="P507" s="130"/>
    </row>
    <row r="508" spans="1:64">
      <c r="A508" s="130"/>
      <c r="D508" s="157" t="s">
        <v>2</v>
      </c>
      <c r="I508" s="156"/>
      <c r="K508" s="155">
        <v>1</v>
      </c>
      <c r="O508" s="154"/>
      <c r="P508" s="130"/>
    </row>
    <row r="509" spans="1:64">
      <c r="A509" s="153"/>
      <c r="B509" s="152" t="s">
        <v>1311</v>
      </c>
      <c r="C509" s="152"/>
      <c r="D509" s="255" t="s">
        <v>1316</v>
      </c>
      <c r="E509" s="255"/>
      <c r="F509" s="255"/>
      <c r="G509" s="255"/>
      <c r="H509" s="255"/>
      <c r="I509" s="255"/>
      <c r="J509" s="151" t="s">
        <v>1305</v>
      </c>
      <c r="K509" s="151" t="s">
        <v>1305</v>
      </c>
      <c r="L509" s="151" t="s">
        <v>1305</v>
      </c>
      <c r="M509" s="150">
        <f>M510</f>
        <v>0</v>
      </c>
      <c r="N509" s="149"/>
      <c r="O509" s="148"/>
      <c r="P509" s="130"/>
    </row>
    <row r="510" spans="1:64">
      <c r="A510" s="147"/>
      <c r="B510" s="146" t="s">
        <v>1311</v>
      </c>
      <c r="C510" s="146" t="s">
        <v>1307</v>
      </c>
      <c r="D510" s="252" t="s">
        <v>1315</v>
      </c>
      <c r="E510" s="252"/>
      <c r="F510" s="252"/>
      <c r="G510" s="252"/>
      <c r="H510" s="252"/>
      <c r="I510" s="252"/>
      <c r="J510" s="145" t="s">
        <v>1305</v>
      </c>
      <c r="K510" s="145" t="s">
        <v>1305</v>
      </c>
      <c r="L510" s="145" t="s">
        <v>1305</v>
      </c>
      <c r="M510" s="143">
        <f>SUM(M511:M511)</f>
        <v>0</v>
      </c>
      <c r="N510" s="138"/>
      <c r="O510" s="144"/>
      <c r="P510" s="130"/>
      <c r="AI510" s="138" t="s">
        <v>1311</v>
      </c>
      <c r="AS510" s="143">
        <f>SUM(AJ511:AJ511)</f>
        <v>0</v>
      </c>
      <c r="AT510" s="143">
        <f>SUM(AK511:AK511)</f>
        <v>0</v>
      </c>
      <c r="AU510" s="143">
        <f>SUM(AL511:AL511)</f>
        <v>0</v>
      </c>
    </row>
    <row r="511" spans="1:64">
      <c r="A511" s="142" t="s">
        <v>66</v>
      </c>
      <c r="B511" s="141" t="s">
        <v>1311</v>
      </c>
      <c r="C511" s="141" t="s">
        <v>1314</v>
      </c>
      <c r="D511" s="243" t="s">
        <v>1313</v>
      </c>
      <c r="E511" s="243"/>
      <c r="F511" s="243"/>
      <c r="G511" s="243"/>
      <c r="H511" s="243"/>
      <c r="I511" s="243"/>
      <c r="J511" s="141" t="s">
        <v>1312</v>
      </c>
      <c r="K511" s="137">
        <v>1</v>
      </c>
      <c r="L511" s="137">
        <v>0</v>
      </c>
      <c r="M511" s="137">
        <f>K511*L511</f>
        <v>0</v>
      </c>
      <c r="N511" s="137">
        <v>0</v>
      </c>
      <c r="O511" s="140" t="s">
        <v>1302</v>
      </c>
      <c r="P511" s="130"/>
      <c r="Z511" s="137">
        <f>IF(AQ511="5",BJ511,0)</f>
        <v>0</v>
      </c>
      <c r="AB511" s="137">
        <f>IF(AQ511="1",BH511,0)</f>
        <v>0</v>
      </c>
      <c r="AC511" s="137">
        <f>IF(AQ511="1",BI511,0)</f>
        <v>0</v>
      </c>
      <c r="AD511" s="137">
        <f>IF(AQ511="7",BH511,0)</f>
        <v>0</v>
      </c>
      <c r="AE511" s="137">
        <f>IF(AQ511="7",BI511,0)</f>
        <v>0</v>
      </c>
      <c r="AF511" s="137">
        <f>IF(AQ511="2",BH511,0)</f>
        <v>0</v>
      </c>
      <c r="AG511" s="137">
        <f>IF(AQ511="2",BI511,0)</f>
        <v>0</v>
      </c>
      <c r="AH511" s="137">
        <f>IF(AQ511="0",BJ511,0)</f>
        <v>0</v>
      </c>
      <c r="AI511" s="138" t="s">
        <v>1311</v>
      </c>
      <c r="AJ511" s="137">
        <f>IF(AN511=0,M511,0)</f>
        <v>0</v>
      </c>
      <c r="AK511" s="137">
        <f>IF(AN511=15,M511,0)</f>
        <v>0</v>
      </c>
      <c r="AL511" s="137">
        <f>IF(AN511=21,M511,0)</f>
        <v>0</v>
      </c>
      <c r="AN511" s="137">
        <v>21</v>
      </c>
      <c r="AO511" s="137">
        <f>L511*0</f>
        <v>0</v>
      </c>
      <c r="AP511" s="137">
        <f>L511*(1-0)</f>
        <v>0</v>
      </c>
      <c r="AQ511" s="139" t="s">
        <v>365</v>
      </c>
      <c r="AV511" s="137">
        <f>AW511+AX511</f>
        <v>0</v>
      </c>
      <c r="AW511" s="137">
        <f>K511*AO511</f>
        <v>0</v>
      </c>
      <c r="AX511" s="137">
        <f>K511*AP511</f>
        <v>0</v>
      </c>
      <c r="AY511" s="139" t="s">
        <v>1310</v>
      </c>
      <c r="AZ511" s="139" t="s">
        <v>1309</v>
      </c>
      <c r="BA511" s="138" t="s">
        <v>1308</v>
      </c>
      <c r="BC511" s="137">
        <f>AW511+AX511</f>
        <v>0</v>
      </c>
      <c r="BD511" s="137">
        <f>L511/(100-BE511)*100</f>
        <v>0</v>
      </c>
      <c r="BE511" s="137">
        <v>0</v>
      </c>
      <c r="BF511" s="137">
        <f>511</f>
        <v>511</v>
      </c>
      <c r="BH511" s="137">
        <f>K511*AO511</f>
        <v>0</v>
      </c>
      <c r="BI511" s="137">
        <f>K511*AP511</f>
        <v>0</v>
      </c>
      <c r="BJ511" s="137">
        <f>K511*L511</f>
        <v>0</v>
      </c>
      <c r="BK511" s="137" t="s">
        <v>442</v>
      </c>
      <c r="BL511" s="137" t="s">
        <v>1307</v>
      </c>
    </row>
    <row r="512" spans="1:64" ht="14.65" customHeight="1">
      <c r="A512" s="130"/>
      <c r="D512" s="251" t="s">
        <v>1296</v>
      </c>
      <c r="E512" s="251"/>
      <c r="F512" s="251"/>
      <c r="G512" s="251"/>
      <c r="H512" s="251"/>
      <c r="I512" s="251"/>
      <c r="J512" s="251"/>
      <c r="K512" s="251"/>
      <c r="L512" s="251"/>
      <c r="M512" s="251"/>
      <c r="N512" s="251"/>
      <c r="O512" s="251"/>
      <c r="P512" s="130"/>
    </row>
    <row r="513" spans="1:64">
      <c r="A513" s="130"/>
      <c r="D513" s="157" t="s">
        <v>2</v>
      </c>
      <c r="I513" s="156"/>
      <c r="K513" s="155">
        <v>1</v>
      </c>
      <c r="O513" s="154"/>
      <c r="P513" s="130"/>
    </row>
    <row r="514" spans="1:64">
      <c r="A514" s="153"/>
      <c r="B514" s="152" t="s">
        <v>1301</v>
      </c>
      <c r="C514" s="152"/>
      <c r="D514" s="255" t="s">
        <v>1303</v>
      </c>
      <c r="E514" s="255"/>
      <c r="F514" s="255"/>
      <c r="G514" s="255"/>
      <c r="H514" s="255"/>
      <c r="I514" s="255"/>
      <c r="J514" s="151" t="s">
        <v>1305</v>
      </c>
      <c r="K514" s="151" t="s">
        <v>1305</v>
      </c>
      <c r="L514" s="151" t="s">
        <v>1305</v>
      </c>
      <c r="M514" s="150">
        <f>M515</f>
        <v>0</v>
      </c>
      <c r="N514" s="149"/>
      <c r="O514" s="148"/>
      <c r="P514" s="130"/>
    </row>
    <row r="515" spans="1:64">
      <c r="A515" s="147"/>
      <c r="B515" s="146" t="s">
        <v>1301</v>
      </c>
      <c r="C515" s="146" t="s">
        <v>1297</v>
      </c>
      <c r="D515" s="252" t="s">
        <v>1306</v>
      </c>
      <c r="E515" s="252"/>
      <c r="F515" s="252"/>
      <c r="G515" s="252"/>
      <c r="H515" s="252"/>
      <c r="I515" s="252"/>
      <c r="J515" s="145" t="s">
        <v>1305</v>
      </c>
      <c r="K515" s="145" t="s">
        <v>1305</v>
      </c>
      <c r="L515" s="145" t="s">
        <v>1305</v>
      </c>
      <c r="M515" s="143">
        <f>SUM(M516:M516)</f>
        <v>0</v>
      </c>
      <c r="N515" s="138"/>
      <c r="O515" s="144"/>
      <c r="P515" s="130"/>
      <c r="AI515" s="138" t="s">
        <v>1301</v>
      </c>
      <c r="AS515" s="143">
        <f>SUM(AJ516:AJ516)</f>
        <v>0</v>
      </c>
      <c r="AT515" s="143">
        <f>SUM(AK516:AK516)</f>
        <v>0</v>
      </c>
      <c r="AU515" s="143">
        <f>SUM(AL516:AL516)</f>
        <v>0</v>
      </c>
    </row>
    <row r="516" spans="1:64">
      <c r="A516" s="142" t="s">
        <v>1283</v>
      </c>
      <c r="B516" s="141" t="s">
        <v>1301</v>
      </c>
      <c r="C516" s="141" t="s">
        <v>1304</v>
      </c>
      <c r="D516" s="243" t="s">
        <v>1303</v>
      </c>
      <c r="E516" s="243"/>
      <c r="F516" s="243"/>
      <c r="G516" s="243"/>
      <c r="H516" s="243"/>
      <c r="I516" s="243"/>
      <c r="J516" s="141" t="s">
        <v>8</v>
      </c>
      <c r="K516" s="137">
        <v>1</v>
      </c>
      <c r="L516" s="137">
        <v>0</v>
      </c>
      <c r="M516" s="137">
        <f>K516*L516</f>
        <v>0</v>
      </c>
      <c r="N516" s="137">
        <v>0</v>
      </c>
      <c r="O516" s="140" t="s">
        <v>1302</v>
      </c>
      <c r="P516" s="130"/>
      <c r="Z516" s="137">
        <f>IF(AQ516="5",BJ516,0)</f>
        <v>0</v>
      </c>
      <c r="AB516" s="137">
        <f>IF(AQ516="1",BH516,0)</f>
        <v>0</v>
      </c>
      <c r="AC516" s="137">
        <f>IF(AQ516="1",BI516,0)</f>
        <v>0</v>
      </c>
      <c r="AD516" s="137">
        <f>IF(AQ516="7",BH516,0)</f>
        <v>0</v>
      </c>
      <c r="AE516" s="137">
        <f>IF(AQ516="7",BI516,0)</f>
        <v>0</v>
      </c>
      <c r="AF516" s="137">
        <f>IF(AQ516="2",BH516,0)</f>
        <v>0</v>
      </c>
      <c r="AG516" s="137">
        <f>IF(AQ516="2",BI516,0)</f>
        <v>0</v>
      </c>
      <c r="AH516" s="137">
        <f>IF(AQ516="0",BJ516,0)</f>
        <v>0</v>
      </c>
      <c r="AI516" s="138" t="s">
        <v>1301</v>
      </c>
      <c r="AJ516" s="137">
        <f>IF(AN516=0,M516,0)</f>
        <v>0</v>
      </c>
      <c r="AK516" s="137">
        <f>IF(AN516=15,M516,0)</f>
        <v>0</v>
      </c>
      <c r="AL516" s="137">
        <f>IF(AN516=21,M516,0)</f>
        <v>0</v>
      </c>
      <c r="AN516" s="137">
        <v>21</v>
      </c>
      <c r="AO516" s="137">
        <f>L516*0</f>
        <v>0</v>
      </c>
      <c r="AP516" s="137">
        <f>L516*(1-0)</f>
        <v>0</v>
      </c>
      <c r="AQ516" s="139" t="s">
        <v>365</v>
      </c>
      <c r="AV516" s="137">
        <f>AW516+AX516</f>
        <v>0</v>
      </c>
      <c r="AW516" s="137">
        <f>K516*AO516</f>
        <v>0</v>
      </c>
      <c r="AX516" s="137">
        <f>K516*AP516</f>
        <v>0</v>
      </c>
      <c r="AY516" s="139" t="s">
        <v>1300</v>
      </c>
      <c r="AZ516" s="139" t="s">
        <v>1299</v>
      </c>
      <c r="BA516" s="138" t="s">
        <v>1298</v>
      </c>
      <c r="BC516" s="137">
        <f>AW516+AX516</f>
        <v>0</v>
      </c>
      <c r="BD516" s="137">
        <f>L516/(100-BE516)*100</f>
        <v>0</v>
      </c>
      <c r="BE516" s="137">
        <v>0</v>
      </c>
      <c r="BF516" s="137">
        <f>516</f>
        <v>516</v>
      </c>
      <c r="BH516" s="137">
        <f>K516*AO516</f>
        <v>0</v>
      </c>
      <c r="BI516" s="137">
        <f>K516*AP516</f>
        <v>0</v>
      </c>
      <c r="BJ516" s="137">
        <f>K516*L516</f>
        <v>0</v>
      </c>
      <c r="BK516" s="137" t="s">
        <v>442</v>
      </c>
      <c r="BL516" s="137" t="s">
        <v>1297</v>
      </c>
    </row>
    <row r="517" spans="1:64" ht="14.65" customHeight="1">
      <c r="A517" s="130"/>
      <c r="D517" s="251" t="s">
        <v>1296</v>
      </c>
      <c r="E517" s="251"/>
      <c r="F517" s="251"/>
      <c r="G517" s="251"/>
      <c r="H517" s="251"/>
      <c r="I517" s="251"/>
      <c r="J517" s="251"/>
      <c r="K517" s="251"/>
      <c r="L517" s="251"/>
      <c r="M517" s="251"/>
      <c r="N517" s="251"/>
      <c r="O517" s="251"/>
      <c r="P517" s="130"/>
    </row>
    <row r="518" spans="1:64">
      <c r="A518" s="136"/>
      <c r="B518" s="132"/>
      <c r="C518" s="132"/>
      <c r="D518" s="135" t="s">
        <v>2</v>
      </c>
      <c r="E518" s="132"/>
      <c r="F518" s="132"/>
      <c r="G518" s="132"/>
      <c r="H518" s="132"/>
      <c r="I518" s="134"/>
      <c r="J518" s="132"/>
      <c r="K518" s="133">
        <v>1</v>
      </c>
      <c r="L518" s="132"/>
      <c r="M518" s="132"/>
      <c r="N518" s="132"/>
      <c r="O518" s="131"/>
      <c r="P518" s="130"/>
    </row>
    <row r="519" spans="1:64">
      <c r="A519" s="128"/>
      <c r="B519" s="128"/>
      <c r="C519" s="128"/>
      <c r="D519" s="128"/>
      <c r="E519" s="128"/>
      <c r="F519" s="128"/>
      <c r="G519" s="128"/>
      <c r="H519" s="128"/>
      <c r="I519" s="128"/>
      <c r="J519" s="128"/>
      <c r="K519" s="128"/>
      <c r="L519" s="128"/>
      <c r="M519" s="129">
        <f>ROUND(M13+M19+M24+M28+M31+M37+M50+M55+M109+M134+M147+M150+M159+M165+M173+M198+M219+M224+M254+M270+M273+M309+M337+M357+M378+M408+M418+M432+M460+M484+M486+M500+M505+M510+M515,0)</f>
        <v>0</v>
      </c>
      <c r="N519" s="128"/>
      <c r="O519" s="128"/>
    </row>
    <row r="520" spans="1:64" ht="11.25" customHeight="1">
      <c r="A520" s="127" t="s">
        <v>427</v>
      </c>
    </row>
    <row r="521" spans="1:64">
      <c r="A521" s="233"/>
      <c r="B521" s="233"/>
      <c r="C521" s="233"/>
      <c r="D521" s="233"/>
      <c r="E521" s="233"/>
      <c r="F521" s="233"/>
      <c r="G521" s="233"/>
      <c r="H521" s="233"/>
      <c r="I521" s="233"/>
      <c r="J521" s="233"/>
      <c r="K521" s="233"/>
      <c r="L521" s="233"/>
      <c r="M521" s="233"/>
      <c r="N521" s="233"/>
      <c r="O521" s="233"/>
    </row>
  </sheetData>
  <sheetProtection algorithmName="SHA-512" hashValue="S5q0QPSaxLLQY9FSn7ykPEZycCGpn8op1eUAn/7X44g57m2SDEwpet61MoJQmP46A4e4wN0xfEGwQCZ64BRIgA==" saltValue="kZS3kdgMR8LCWrFUeI6Wpw==" spinCount="100000" sheet="1"/>
  <mergeCells count="314">
    <mergeCell ref="A521:O521"/>
    <mergeCell ref="D511:I511"/>
    <mergeCell ref="D512:O512"/>
    <mergeCell ref="D514:I514"/>
    <mergeCell ref="D515:I515"/>
    <mergeCell ref="D516:I516"/>
    <mergeCell ref="D517:O517"/>
    <mergeCell ref="D504:I504"/>
    <mergeCell ref="D505:I505"/>
    <mergeCell ref="D506:I506"/>
    <mergeCell ref="D507:O507"/>
    <mergeCell ref="D509:I509"/>
    <mergeCell ref="D510:I510"/>
    <mergeCell ref="D495:I495"/>
    <mergeCell ref="D497:I497"/>
    <mergeCell ref="D499:I499"/>
    <mergeCell ref="D500:I500"/>
    <mergeCell ref="D501:I501"/>
    <mergeCell ref="D502:O502"/>
    <mergeCell ref="D485:I485"/>
    <mergeCell ref="D486:I486"/>
    <mergeCell ref="D487:I487"/>
    <mergeCell ref="D489:I489"/>
    <mergeCell ref="D491:I491"/>
    <mergeCell ref="D493:I493"/>
    <mergeCell ref="D474:I474"/>
    <mergeCell ref="D476:I476"/>
    <mergeCell ref="D478:I478"/>
    <mergeCell ref="D480:I480"/>
    <mergeCell ref="D482:I482"/>
    <mergeCell ref="D484:I484"/>
    <mergeCell ref="D460:I460"/>
    <mergeCell ref="D461:I461"/>
    <mergeCell ref="D463:I463"/>
    <mergeCell ref="D467:I467"/>
    <mergeCell ref="D469:I469"/>
    <mergeCell ref="D471:I471"/>
    <mergeCell ref="D446:O446"/>
    <mergeCell ref="D450:I450"/>
    <mergeCell ref="D452:I452"/>
    <mergeCell ref="D454:I454"/>
    <mergeCell ref="D456:I456"/>
    <mergeCell ref="D458:I458"/>
    <mergeCell ref="D435:I435"/>
    <mergeCell ref="D437:I437"/>
    <mergeCell ref="D439:I439"/>
    <mergeCell ref="D441:I441"/>
    <mergeCell ref="D443:I443"/>
    <mergeCell ref="D445:I445"/>
    <mergeCell ref="D426:I426"/>
    <mergeCell ref="D427:O427"/>
    <mergeCell ref="D429:I429"/>
    <mergeCell ref="D430:O430"/>
    <mergeCell ref="D432:I432"/>
    <mergeCell ref="D433:I433"/>
    <mergeCell ref="D412:I412"/>
    <mergeCell ref="D413:O413"/>
    <mergeCell ref="D418:I418"/>
    <mergeCell ref="D419:I419"/>
    <mergeCell ref="D421:I421"/>
    <mergeCell ref="D423:I423"/>
    <mergeCell ref="D403:O403"/>
    <mergeCell ref="D405:I405"/>
    <mergeCell ref="D406:O406"/>
    <mergeCell ref="D408:I408"/>
    <mergeCell ref="D409:I409"/>
    <mergeCell ref="D410:O410"/>
    <mergeCell ref="D379:I379"/>
    <mergeCell ref="D383:I383"/>
    <mergeCell ref="D384:O384"/>
    <mergeCell ref="D390:I390"/>
    <mergeCell ref="D396:I396"/>
    <mergeCell ref="D402:I402"/>
    <mergeCell ref="D370:I370"/>
    <mergeCell ref="D372:I372"/>
    <mergeCell ref="D374:I374"/>
    <mergeCell ref="D375:O375"/>
    <mergeCell ref="D377:I377"/>
    <mergeCell ref="D378:I378"/>
    <mergeCell ref="D361:I361"/>
    <mergeCell ref="D362:O362"/>
    <mergeCell ref="D364:I364"/>
    <mergeCell ref="D365:O365"/>
    <mergeCell ref="D367:I367"/>
    <mergeCell ref="D368:O368"/>
    <mergeCell ref="D352:I352"/>
    <mergeCell ref="D353:O353"/>
    <mergeCell ref="D356:I356"/>
    <mergeCell ref="D357:I357"/>
    <mergeCell ref="D358:I358"/>
    <mergeCell ref="D359:O359"/>
    <mergeCell ref="D340:I340"/>
    <mergeCell ref="D342:I342"/>
    <mergeCell ref="D343:O343"/>
    <mergeCell ref="D345:I345"/>
    <mergeCell ref="D347:I347"/>
    <mergeCell ref="D350:I350"/>
    <mergeCell ref="D330:I330"/>
    <mergeCell ref="D332:I332"/>
    <mergeCell ref="D334:I334"/>
    <mergeCell ref="D336:I336"/>
    <mergeCell ref="D337:I337"/>
    <mergeCell ref="D338:I338"/>
    <mergeCell ref="D319:I319"/>
    <mergeCell ref="D321:I321"/>
    <mergeCell ref="D323:I323"/>
    <mergeCell ref="D325:I325"/>
    <mergeCell ref="D327:I327"/>
    <mergeCell ref="D328:O328"/>
    <mergeCell ref="D308:I308"/>
    <mergeCell ref="D309:I309"/>
    <mergeCell ref="D310:I310"/>
    <mergeCell ref="D312:I312"/>
    <mergeCell ref="D315:I315"/>
    <mergeCell ref="D317:I317"/>
    <mergeCell ref="D298:O298"/>
    <mergeCell ref="D300:I300"/>
    <mergeCell ref="D302:I302"/>
    <mergeCell ref="D303:O303"/>
    <mergeCell ref="D305:I305"/>
    <mergeCell ref="D306:O306"/>
    <mergeCell ref="D288:I288"/>
    <mergeCell ref="D290:I290"/>
    <mergeCell ref="D291:O291"/>
    <mergeCell ref="D293:I293"/>
    <mergeCell ref="D295:I295"/>
    <mergeCell ref="D297:I297"/>
    <mergeCell ref="D275:O275"/>
    <mergeCell ref="D277:I277"/>
    <mergeCell ref="D279:I279"/>
    <mergeCell ref="D282:I282"/>
    <mergeCell ref="D284:I284"/>
    <mergeCell ref="D286:I286"/>
    <mergeCell ref="D267:I267"/>
    <mergeCell ref="D269:I269"/>
    <mergeCell ref="D270:I270"/>
    <mergeCell ref="D271:I271"/>
    <mergeCell ref="D273:I273"/>
    <mergeCell ref="D274:I274"/>
    <mergeCell ref="D255:I255"/>
    <mergeCell ref="D257:I257"/>
    <mergeCell ref="D259:I259"/>
    <mergeCell ref="D261:I261"/>
    <mergeCell ref="D263:I263"/>
    <mergeCell ref="D265:I265"/>
    <mergeCell ref="D245:I245"/>
    <mergeCell ref="D246:O246"/>
    <mergeCell ref="D248:I248"/>
    <mergeCell ref="D250:I250"/>
    <mergeCell ref="D253:I253"/>
    <mergeCell ref="D254:I254"/>
    <mergeCell ref="D235:I235"/>
    <mergeCell ref="D236:O236"/>
    <mergeCell ref="D238:I238"/>
    <mergeCell ref="D240:I240"/>
    <mergeCell ref="D241:O241"/>
    <mergeCell ref="D243:I243"/>
    <mergeCell ref="D225:I225"/>
    <mergeCell ref="D227:I227"/>
    <mergeCell ref="D228:O228"/>
    <mergeCell ref="D230:I230"/>
    <mergeCell ref="D232:I232"/>
    <mergeCell ref="D233:O233"/>
    <mergeCell ref="D216:I216"/>
    <mergeCell ref="D218:I218"/>
    <mergeCell ref="D219:I219"/>
    <mergeCell ref="D220:I220"/>
    <mergeCell ref="D222:I222"/>
    <mergeCell ref="D224:I224"/>
    <mergeCell ref="D206:I206"/>
    <mergeCell ref="D207:O207"/>
    <mergeCell ref="D209:I209"/>
    <mergeCell ref="D210:O210"/>
    <mergeCell ref="D212:I212"/>
    <mergeCell ref="D214:I214"/>
    <mergeCell ref="D195:O195"/>
    <mergeCell ref="D197:I197"/>
    <mergeCell ref="D198:I198"/>
    <mergeCell ref="D199:I199"/>
    <mergeCell ref="D201:I201"/>
    <mergeCell ref="D204:I204"/>
    <mergeCell ref="D183:I183"/>
    <mergeCell ref="D186:I186"/>
    <mergeCell ref="D187:O187"/>
    <mergeCell ref="D189:I189"/>
    <mergeCell ref="D191:I191"/>
    <mergeCell ref="D194:I194"/>
    <mergeCell ref="D174:I174"/>
    <mergeCell ref="D175:O175"/>
    <mergeCell ref="D177:I177"/>
    <mergeCell ref="D178:O178"/>
    <mergeCell ref="D180:I180"/>
    <mergeCell ref="D181:O181"/>
    <mergeCell ref="D166:I166"/>
    <mergeCell ref="D167:O167"/>
    <mergeCell ref="D169:I169"/>
    <mergeCell ref="D170:O170"/>
    <mergeCell ref="D172:I172"/>
    <mergeCell ref="D173:I173"/>
    <mergeCell ref="D156:I156"/>
    <mergeCell ref="D159:I159"/>
    <mergeCell ref="D160:I160"/>
    <mergeCell ref="D161:O161"/>
    <mergeCell ref="D163:I163"/>
    <mergeCell ref="D165:I165"/>
    <mergeCell ref="D147:I147"/>
    <mergeCell ref="D148:I148"/>
    <mergeCell ref="D150:I150"/>
    <mergeCell ref="D151:I151"/>
    <mergeCell ref="D152:O152"/>
    <mergeCell ref="D154:I154"/>
    <mergeCell ref="D135:I135"/>
    <mergeCell ref="D136:O136"/>
    <mergeCell ref="D139:I139"/>
    <mergeCell ref="D140:O140"/>
    <mergeCell ref="D142:I142"/>
    <mergeCell ref="D144:I144"/>
    <mergeCell ref="D125:I125"/>
    <mergeCell ref="D126:O126"/>
    <mergeCell ref="D128:I128"/>
    <mergeCell ref="D130:I130"/>
    <mergeCell ref="D132:I132"/>
    <mergeCell ref="D134:I134"/>
    <mergeCell ref="D116:I116"/>
    <mergeCell ref="D117:O117"/>
    <mergeCell ref="D119:I119"/>
    <mergeCell ref="D120:O120"/>
    <mergeCell ref="D122:I122"/>
    <mergeCell ref="D123:O123"/>
    <mergeCell ref="D105:I105"/>
    <mergeCell ref="D107:I107"/>
    <mergeCell ref="D109:I109"/>
    <mergeCell ref="D110:I110"/>
    <mergeCell ref="D112:I112"/>
    <mergeCell ref="D114:I114"/>
    <mergeCell ref="D94:I94"/>
    <mergeCell ref="D95:O95"/>
    <mergeCell ref="D97:I97"/>
    <mergeCell ref="D98:O98"/>
    <mergeCell ref="D100:I100"/>
    <mergeCell ref="D101:O101"/>
    <mergeCell ref="D84:I84"/>
    <mergeCell ref="D85:O85"/>
    <mergeCell ref="D87:I87"/>
    <mergeCell ref="D88:O88"/>
    <mergeCell ref="D90:I90"/>
    <mergeCell ref="D92:I92"/>
    <mergeCell ref="D71:I71"/>
    <mergeCell ref="D72:O72"/>
    <mergeCell ref="D78:I78"/>
    <mergeCell ref="D79:O79"/>
    <mergeCell ref="D81:I81"/>
    <mergeCell ref="D82:O82"/>
    <mergeCell ref="D55:I55"/>
    <mergeCell ref="D56:I56"/>
    <mergeCell ref="D60:I60"/>
    <mergeCell ref="D63:I63"/>
    <mergeCell ref="D65:I65"/>
    <mergeCell ref="D66:O66"/>
    <mergeCell ref="D45:I45"/>
    <mergeCell ref="D46:O46"/>
    <mergeCell ref="D48:I48"/>
    <mergeCell ref="D50:I50"/>
    <mergeCell ref="D51:I51"/>
    <mergeCell ref="D53:I53"/>
    <mergeCell ref="D35:I35"/>
    <mergeCell ref="D37:I37"/>
    <mergeCell ref="D38:I38"/>
    <mergeCell ref="D40:I40"/>
    <mergeCell ref="D41:O41"/>
    <mergeCell ref="D43:I43"/>
    <mergeCell ref="D26:O26"/>
    <mergeCell ref="D28:I28"/>
    <mergeCell ref="D29:I29"/>
    <mergeCell ref="D31:I31"/>
    <mergeCell ref="D32:I32"/>
    <mergeCell ref="D33:O33"/>
    <mergeCell ref="D17:O17"/>
    <mergeCell ref="D19:I19"/>
    <mergeCell ref="D20:I20"/>
    <mergeCell ref="D22:I22"/>
    <mergeCell ref="D24:I24"/>
    <mergeCell ref="D25:I25"/>
    <mergeCell ref="N10:IV10"/>
    <mergeCell ref="D11:I11"/>
    <mergeCell ref="D12:I12"/>
    <mergeCell ref="D13:I13"/>
    <mergeCell ref="D14:I14"/>
    <mergeCell ref="D16:I16"/>
    <mergeCell ref="A8:C9"/>
    <mergeCell ref="D8:D9"/>
    <mergeCell ref="E8:F9"/>
    <mergeCell ref="G8:G9"/>
    <mergeCell ref="H8:H9"/>
    <mergeCell ref="I8:O9"/>
    <mergeCell ref="A6:C7"/>
    <mergeCell ref="D6:D7"/>
    <mergeCell ref="E6:F7"/>
    <mergeCell ref="G6:G7"/>
    <mergeCell ref="H6:H7"/>
    <mergeCell ref="I6:O7"/>
    <mergeCell ref="A4:C5"/>
    <mergeCell ref="D4:D5"/>
    <mergeCell ref="E4:F5"/>
    <mergeCell ref="G4:G5"/>
    <mergeCell ref="H4:H5"/>
    <mergeCell ref="I4:O5"/>
    <mergeCell ref="A1:O1"/>
    <mergeCell ref="A2:C3"/>
    <mergeCell ref="D2:D3"/>
    <mergeCell ref="E2:F3"/>
    <mergeCell ref="G2:G3"/>
    <mergeCell ref="H2:H3"/>
    <mergeCell ref="I2:O3"/>
  </mergeCells>
  <pageMargins left="0.39374999999999999" right="0.39374999999999999" top="0.59097222222222223" bottom="0.59097222222222223" header="0.51180555555555551" footer="0.51180555555555551"/>
  <pageSetup paperSize="9" firstPageNumber="0" fitToHeight="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E07F0-7171-4210-B624-DB2BB5B9A0CB}">
  <sheetPr>
    <pageSetUpPr fitToPage="1"/>
  </sheetPr>
  <dimension ref="B2:BM242"/>
  <sheetViews>
    <sheetView showGridLines="0" workbookViewId="0">
      <selection activeCell="X18" sqref="X18"/>
    </sheetView>
  </sheetViews>
  <sheetFormatPr defaultRowHeight="11.25"/>
  <cols>
    <col min="1" max="1" width="7.140625" style="1" customWidth="1"/>
    <col min="2" max="2" width="1" style="1" customWidth="1"/>
    <col min="3" max="3" width="3.5703125" style="1" customWidth="1"/>
    <col min="4" max="4" width="3.7109375" style="1" customWidth="1"/>
    <col min="5" max="5" width="14.7109375" style="1" customWidth="1"/>
    <col min="6" max="6" width="43.5703125" style="1" customWidth="1"/>
    <col min="7" max="7" width="6.42578125" style="1" customWidth="1"/>
    <col min="8" max="8" width="12" style="1" customWidth="1"/>
    <col min="9" max="9" width="13.5703125" style="1" customWidth="1"/>
    <col min="10" max="11" width="19.140625" style="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c r="L2" s="260"/>
      <c r="M2" s="260"/>
      <c r="N2" s="260"/>
      <c r="O2" s="260"/>
      <c r="P2" s="260"/>
      <c r="Q2" s="260"/>
      <c r="R2" s="260"/>
      <c r="S2" s="260"/>
      <c r="T2" s="260"/>
      <c r="U2" s="260"/>
      <c r="V2" s="260"/>
      <c r="AT2" s="7" t="s">
        <v>441</v>
      </c>
    </row>
    <row r="3" spans="2:46" ht="6.95" customHeight="1">
      <c r="B3" s="91"/>
      <c r="C3" s="90"/>
      <c r="D3" s="90"/>
      <c r="E3" s="90"/>
      <c r="F3" s="90"/>
      <c r="G3" s="90"/>
      <c r="H3" s="90"/>
      <c r="I3" s="90"/>
      <c r="J3" s="90"/>
      <c r="K3" s="90"/>
      <c r="L3" s="72"/>
      <c r="AT3" s="7" t="s">
        <v>365</v>
      </c>
    </row>
    <row r="4" spans="2:46" ht="24.95" customHeight="1">
      <c r="B4" s="72"/>
      <c r="D4" s="55" t="s">
        <v>440</v>
      </c>
      <c r="L4" s="72"/>
      <c r="M4" s="89" t="s">
        <v>439</v>
      </c>
      <c r="AT4" s="7" t="s">
        <v>438</v>
      </c>
    </row>
    <row r="5" spans="2:46" ht="6.95" customHeight="1">
      <c r="B5" s="72"/>
      <c r="L5" s="72"/>
    </row>
    <row r="6" spans="2:46" ht="12" customHeight="1">
      <c r="B6" s="72"/>
      <c r="D6" s="52" t="s">
        <v>395</v>
      </c>
      <c r="L6" s="72"/>
    </row>
    <row r="7" spans="2:46" ht="26.25" customHeight="1">
      <c r="B7" s="72"/>
      <c r="E7" s="258" t="s">
        <v>2057</v>
      </c>
      <c r="F7" s="259"/>
      <c r="G7" s="259"/>
      <c r="H7" s="259"/>
      <c r="L7" s="72"/>
    </row>
    <row r="8" spans="2:46" s="2" customFormat="1" ht="12" customHeight="1">
      <c r="B8" s="3"/>
      <c r="D8" s="52" t="s">
        <v>394</v>
      </c>
      <c r="L8" s="3"/>
    </row>
    <row r="9" spans="2:46" s="2" customFormat="1" ht="16.5" customHeight="1">
      <c r="B9" s="3"/>
      <c r="E9" s="256" t="s">
        <v>437</v>
      </c>
      <c r="F9" s="257"/>
      <c r="G9" s="257"/>
      <c r="H9" s="257"/>
      <c r="L9" s="3"/>
    </row>
    <row r="10" spans="2:46" s="2" customFormat="1">
      <c r="B10" s="3"/>
      <c r="L10" s="3"/>
    </row>
    <row r="11" spans="2:46" s="2" customFormat="1" ht="12" customHeight="1">
      <c r="B11" s="3"/>
      <c r="D11" s="52" t="s">
        <v>436</v>
      </c>
      <c r="F11" s="53" t="s">
        <v>6</v>
      </c>
      <c r="I11" s="52" t="s">
        <v>435</v>
      </c>
      <c r="J11" s="53" t="s">
        <v>6</v>
      </c>
      <c r="L11" s="3"/>
    </row>
    <row r="12" spans="2:46" s="2" customFormat="1" ht="12" customHeight="1">
      <c r="B12" s="3"/>
      <c r="D12" s="52" t="s">
        <v>393</v>
      </c>
      <c r="F12" s="53" t="s">
        <v>434</v>
      </c>
      <c r="I12" s="52" t="s">
        <v>392</v>
      </c>
      <c r="J12" s="54" t="s">
        <v>2058</v>
      </c>
      <c r="L12" s="3"/>
    </row>
    <row r="13" spans="2:46" s="2" customFormat="1" ht="10.9" customHeight="1">
      <c r="B13" s="3"/>
      <c r="L13" s="3"/>
    </row>
    <row r="14" spans="2:46" s="2" customFormat="1" ht="12" customHeight="1">
      <c r="B14" s="3"/>
      <c r="D14" s="52" t="s">
        <v>391</v>
      </c>
      <c r="I14" s="52" t="s">
        <v>429</v>
      </c>
      <c r="J14" s="53" t="s">
        <v>6</v>
      </c>
      <c r="L14" s="3"/>
    </row>
    <row r="15" spans="2:46" s="2" customFormat="1" ht="18" customHeight="1">
      <c r="B15" s="3"/>
      <c r="E15" s="53" t="s">
        <v>433</v>
      </c>
      <c r="I15" s="52" t="s">
        <v>428</v>
      </c>
      <c r="J15" s="53" t="s">
        <v>6</v>
      </c>
      <c r="L15" s="3"/>
    </row>
    <row r="16" spans="2:46" s="2" customFormat="1" ht="6.95" customHeight="1">
      <c r="B16" s="3"/>
      <c r="L16" s="3"/>
    </row>
    <row r="17" spans="2:12" s="2" customFormat="1" ht="12" customHeight="1">
      <c r="B17" s="3"/>
      <c r="D17" s="52" t="s">
        <v>389</v>
      </c>
      <c r="I17" s="52" t="s">
        <v>429</v>
      </c>
      <c r="J17" s="88" t="s">
        <v>2056</v>
      </c>
      <c r="L17" s="3"/>
    </row>
    <row r="18" spans="2:12" s="2" customFormat="1" ht="18" customHeight="1">
      <c r="B18" s="3"/>
      <c r="E18" s="261" t="s">
        <v>2056</v>
      </c>
      <c r="F18" s="262"/>
      <c r="G18" s="262"/>
      <c r="H18" s="262"/>
      <c r="I18" s="52" t="s">
        <v>428</v>
      </c>
      <c r="J18" s="88" t="s">
        <v>2056</v>
      </c>
      <c r="L18" s="3"/>
    </row>
    <row r="19" spans="2:12" s="2" customFormat="1" ht="6.95" customHeight="1">
      <c r="B19" s="3"/>
      <c r="L19" s="3"/>
    </row>
    <row r="20" spans="2:12" s="2" customFormat="1" ht="12" customHeight="1">
      <c r="B20" s="3"/>
      <c r="D20" s="52" t="s">
        <v>390</v>
      </c>
      <c r="I20" s="52" t="s">
        <v>429</v>
      </c>
      <c r="J20" s="53" t="s">
        <v>432</v>
      </c>
      <c r="L20" s="3"/>
    </row>
    <row r="21" spans="2:12" s="2" customFormat="1" ht="18" customHeight="1">
      <c r="B21" s="3"/>
      <c r="E21" s="53" t="s">
        <v>431</v>
      </c>
      <c r="I21" s="52" t="s">
        <v>428</v>
      </c>
      <c r="J21" s="53" t="s">
        <v>430</v>
      </c>
      <c r="L21" s="3"/>
    </row>
    <row r="22" spans="2:12" s="2" customFormat="1" ht="6.95" customHeight="1">
      <c r="B22" s="3"/>
      <c r="L22" s="3"/>
    </row>
    <row r="23" spans="2:12" s="2" customFormat="1" ht="12" customHeight="1">
      <c r="B23" s="3"/>
      <c r="D23" s="52" t="s">
        <v>388</v>
      </c>
      <c r="I23" s="52" t="s">
        <v>429</v>
      </c>
      <c r="J23" s="53" t="s">
        <v>6</v>
      </c>
      <c r="L23" s="3"/>
    </row>
    <row r="24" spans="2:12" s="2" customFormat="1" ht="18" customHeight="1">
      <c r="B24" s="3"/>
      <c r="E24" s="53" t="s">
        <v>1305</v>
      </c>
      <c r="I24" s="52" t="s">
        <v>428</v>
      </c>
      <c r="J24" s="53" t="s">
        <v>6</v>
      </c>
      <c r="L24" s="3"/>
    </row>
    <row r="25" spans="2:12" s="2" customFormat="1" ht="6.95" customHeight="1">
      <c r="B25" s="3"/>
      <c r="L25" s="3"/>
    </row>
    <row r="26" spans="2:12" s="2" customFormat="1" ht="12" customHeight="1">
      <c r="B26" s="3"/>
      <c r="D26" s="52" t="s">
        <v>427</v>
      </c>
      <c r="L26" s="3"/>
    </row>
    <row r="27" spans="2:12" s="86" customFormat="1" ht="16.5" customHeight="1">
      <c r="B27" s="87"/>
      <c r="E27" s="263" t="s">
        <v>6</v>
      </c>
      <c r="F27" s="263"/>
      <c r="G27" s="263"/>
      <c r="H27" s="263"/>
      <c r="L27" s="87"/>
    </row>
    <row r="28" spans="2:12" s="2" customFormat="1" ht="6.95" customHeight="1">
      <c r="B28" s="3"/>
      <c r="L28" s="3"/>
    </row>
    <row r="29" spans="2:12" s="2" customFormat="1" ht="6.95" customHeight="1">
      <c r="B29" s="3"/>
      <c r="D29" s="38"/>
      <c r="E29" s="38"/>
      <c r="F29" s="38"/>
      <c r="G29" s="38"/>
      <c r="H29" s="38"/>
      <c r="I29" s="38"/>
      <c r="J29" s="38"/>
      <c r="K29" s="38"/>
      <c r="L29" s="3"/>
    </row>
    <row r="30" spans="2:12" s="2" customFormat="1" ht="25.35" customHeight="1">
      <c r="B30" s="3"/>
      <c r="D30" s="85" t="s">
        <v>426</v>
      </c>
      <c r="J30" s="63">
        <f>ROUND(J126, 2)</f>
        <v>0</v>
      </c>
      <c r="L30" s="3"/>
    </row>
    <row r="31" spans="2:12" s="2" customFormat="1" ht="6.95" customHeight="1">
      <c r="B31" s="3"/>
      <c r="D31" s="38"/>
      <c r="E31" s="38"/>
      <c r="F31" s="38"/>
      <c r="G31" s="38"/>
      <c r="H31" s="38"/>
      <c r="I31" s="38"/>
      <c r="J31" s="38"/>
      <c r="K31" s="38"/>
      <c r="L31" s="3"/>
    </row>
    <row r="32" spans="2:12" s="2" customFormat="1" ht="14.45" customHeight="1">
      <c r="B32" s="3"/>
      <c r="F32" s="84" t="s">
        <v>425</v>
      </c>
      <c r="I32" s="84" t="s">
        <v>424</v>
      </c>
      <c r="J32" s="84" t="s">
        <v>423</v>
      </c>
      <c r="L32" s="3"/>
    </row>
    <row r="33" spans="2:12" s="2" customFormat="1" ht="14.45" customHeight="1">
      <c r="B33" s="3"/>
      <c r="D33" s="83" t="s">
        <v>378</v>
      </c>
      <c r="E33" s="52" t="s">
        <v>5</v>
      </c>
      <c r="F33" s="81">
        <f>ROUND((SUM(BE126:BE241)),  2)</f>
        <v>0</v>
      </c>
      <c r="I33" s="82">
        <v>0.21</v>
      </c>
      <c r="J33" s="81">
        <f>ROUND(((SUM(BE126:BE241))*I33),  2)</f>
        <v>0</v>
      </c>
      <c r="L33" s="3"/>
    </row>
    <row r="34" spans="2:12" s="2" customFormat="1" ht="14.45" customHeight="1">
      <c r="B34" s="3"/>
      <c r="E34" s="52" t="s">
        <v>422</v>
      </c>
      <c r="F34" s="81">
        <f>ROUND((SUM(BF126:BF241)),  2)</f>
        <v>0</v>
      </c>
      <c r="I34" s="82">
        <v>0.15</v>
      </c>
      <c r="J34" s="81">
        <f>ROUND(((SUM(BF126:BF241))*I34),  2)</f>
        <v>0</v>
      </c>
      <c r="L34" s="3"/>
    </row>
    <row r="35" spans="2:12" s="2" customFormat="1" ht="14.45" hidden="1" customHeight="1">
      <c r="B35" s="3"/>
      <c r="E35" s="52" t="s">
        <v>421</v>
      </c>
      <c r="F35" s="81">
        <f>ROUND((SUM(BG126:BG241)),  2)</f>
        <v>0</v>
      </c>
      <c r="I35" s="82">
        <v>0.21</v>
      </c>
      <c r="J35" s="81">
        <f>0</f>
        <v>0</v>
      </c>
      <c r="L35" s="3"/>
    </row>
    <row r="36" spans="2:12" s="2" customFormat="1" ht="14.45" hidden="1" customHeight="1">
      <c r="B36" s="3"/>
      <c r="E36" s="52" t="s">
        <v>420</v>
      </c>
      <c r="F36" s="81">
        <f>ROUND((SUM(BH126:BH241)),  2)</f>
        <v>0</v>
      </c>
      <c r="I36" s="82">
        <v>0.15</v>
      </c>
      <c r="J36" s="81">
        <f>0</f>
        <v>0</v>
      </c>
      <c r="L36" s="3"/>
    </row>
    <row r="37" spans="2:12" s="2" customFormat="1" ht="14.45" hidden="1" customHeight="1">
      <c r="B37" s="3"/>
      <c r="E37" s="52" t="s">
        <v>419</v>
      </c>
      <c r="F37" s="81">
        <f>ROUND((SUM(BI126:BI241)),  2)</f>
        <v>0</v>
      </c>
      <c r="I37" s="82">
        <v>0</v>
      </c>
      <c r="J37" s="81">
        <f>0</f>
        <v>0</v>
      </c>
      <c r="L37" s="3"/>
    </row>
    <row r="38" spans="2:12" s="2" customFormat="1" ht="6.95" customHeight="1">
      <c r="B38" s="3"/>
      <c r="L38" s="3"/>
    </row>
    <row r="39" spans="2:12" s="2" customFormat="1" ht="25.35" customHeight="1">
      <c r="B39" s="3"/>
      <c r="C39" s="65"/>
      <c r="D39" s="80" t="s">
        <v>418</v>
      </c>
      <c r="E39" s="77"/>
      <c r="F39" s="77"/>
      <c r="G39" s="79" t="s">
        <v>417</v>
      </c>
      <c r="H39" s="78" t="s">
        <v>416</v>
      </c>
      <c r="I39" s="77"/>
      <c r="J39" s="76">
        <f>SUM(J30:J37)</f>
        <v>0</v>
      </c>
      <c r="K39" s="75"/>
      <c r="L39" s="3"/>
    </row>
    <row r="40" spans="2:12" s="2" customFormat="1" ht="14.45" customHeight="1">
      <c r="B40" s="3"/>
      <c r="L40" s="3"/>
    </row>
    <row r="41" spans="2:12" ht="14.45" customHeight="1">
      <c r="B41" s="72"/>
      <c r="L41" s="72"/>
    </row>
    <row r="42" spans="2:12" ht="14.45" customHeight="1">
      <c r="B42" s="72"/>
      <c r="L42" s="72"/>
    </row>
    <row r="43" spans="2:12" ht="14.45" customHeight="1">
      <c r="B43" s="72"/>
      <c r="L43" s="72"/>
    </row>
    <row r="44" spans="2:12" ht="14.45" customHeight="1">
      <c r="B44" s="72"/>
      <c r="L44" s="72"/>
    </row>
    <row r="45" spans="2:12" ht="14.45" customHeight="1">
      <c r="B45" s="72"/>
      <c r="L45" s="72"/>
    </row>
    <row r="46" spans="2:12" ht="14.45" customHeight="1">
      <c r="B46" s="72"/>
      <c r="L46" s="72"/>
    </row>
    <row r="47" spans="2:12" ht="14.45" customHeight="1">
      <c r="B47" s="72"/>
      <c r="L47" s="72"/>
    </row>
    <row r="48" spans="2:12" ht="14.45" customHeight="1">
      <c r="B48" s="72"/>
      <c r="L48" s="72"/>
    </row>
    <row r="49" spans="2:12" ht="14.45" customHeight="1">
      <c r="B49" s="72"/>
      <c r="L49" s="72"/>
    </row>
    <row r="50" spans="2:12" s="2" customFormat="1" ht="14.45" customHeight="1">
      <c r="B50" s="3"/>
      <c r="D50" s="74" t="s">
        <v>415</v>
      </c>
      <c r="E50" s="73"/>
      <c r="F50" s="73"/>
      <c r="G50" s="74" t="s">
        <v>414</v>
      </c>
      <c r="H50" s="73"/>
      <c r="I50" s="73"/>
      <c r="J50" s="73"/>
      <c r="K50" s="73"/>
      <c r="L50" s="3"/>
    </row>
    <row r="51" spans="2:12">
      <c r="B51" s="72"/>
      <c r="L51" s="72"/>
    </row>
    <row r="52" spans="2:12">
      <c r="B52" s="72"/>
      <c r="L52" s="72"/>
    </row>
    <row r="53" spans="2:12">
      <c r="B53" s="72"/>
      <c r="L53" s="72"/>
    </row>
    <row r="54" spans="2:12">
      <c r="B54" s="72"/>
      <c r="L54" s="72"/>
    </row>
    <row r="55" spans="2:12">
      <c r="B55" s="72"/>
      <c r="L55" s="72"/>
    </row>
    <row r="56" spans="2:12">
      <c r="B56" s="72"/>
      <c r="L56" s="72"/>
    </row>
    <row r="57" spans="2:12">
      <c r="B57" s="72"/>
      <c r="L57" s="72"/>
    </row>
    <row r="58" spans="2:12">
      <c r="B58" s="72"/>
      <c r="L58" s="72"/>
    </row>
    <row r="59" spans="2:12">
      <c r="B59" s="72"/>
      <c r="L59" s="72"/>
    </row>
    <row r="60" spans="2:12">
      <c r="B60" s="72"/>
      <c r="L60" s="72"/>
    </row>
    <row r="61" spans="2:12" s="2" customFormat="1" ht="12.75">
      <c r="B61" s="3"/>
      <c r="D61" s="70" t="s">
        <v>411</v>
      </c>
      <c r="E61" s="68"/>
      <c r="F61" s="71" t="s">
        <v>410</v>
      </c>
      <c r="G61" s="70" t="s">
        <v>411</v>
      </c>
      <c r="H61" s="68"/>
      <c r="I61" s="68"/>
      <c r="J61" s="69" t="s">
        <v>410</v>
      </c>
      <c r="K61" s="68"/>
      <c r="L61" s="3"/>
    </row>
    <row r="62" spans="2:12">
      <c r="B62" s="72"/>
      <c r="L62" s="72"/>
    </row>
    <row r="63" spans="2:12">
      <c r="B63" s="72"/>
      <c r="L63" s="72"/>
    </row>
    <row r="64" spans="2:12">
      <c r="B64" s="72"/>
      <c r="L64" s="72"/>
    </row>
    <row r="65" spans="2:12" s="2" customFormat="1" ht="12.75">
      <c r="B65" s="3"/>
      <c r="D65" s="74" t="s">
        <v>413</v>
      </c>
      <c r="E65" s="73"/>
      <c r="F65" s="73"/>
      <c r="G65" s="74" t="s">
        <v>412</v>
      </c>
      <c r="H65" s="73"/>
      <c r="I65" s="73"/>
      <c r="J65" s="73"/>
      <c r="K65" s="73"/>
      <c r="L65" s="3"/>
    </row>
    <row r="66" spans="2:12">
      <c r="B66" s="72"/>
      <c r="L66" s="72"/>
    </row>
    <row r="67" spans="2:12">
      <c r="B67" s="72"/>
      <c r="L67" s="72"/>
    </row>
    <row r="68" spans="2:12">
      <c r="B68" s="72"/>
      <c r="L68" s="72"/>
    </row>
    <row r="69" spans="2:12">
      <c r="B69" s="72"/>
      <c r="L69" s="72"/>
    </row>
    <row r="70" spans="2:12">
      <c r="B70" s="72"/>
      <c r="L70" s="72"/>
    </row>
    <row r="71" spans="2:12">
      <c r="B71" s="72"/>
      <c r="L71" s="72"/>
    </row>
    <row r="72" spans="2:12">
      <c r="B72" s="72"/>
      <c r="L72" s="72"/>
    </row>
    <row r="73" spans="2:12">
      <c r="B73" s="72"/>
      <c r="L73" s="72"/>
    </row>
    <row r="74" spans="2:12">
      <c r="B74" s="72"/>
      <c r="L74" s="72"/>
    </row>
    <row r="75" spans="2:12">
      <c r="B75" s="72"/>
      <c r="L75" s="72"/>
    </row>
    <row r="76" spans="2:12" s="2" customFormat="1" ht="12.75">
      <c r="B76" s="3"/>
      <c r="D76" s="70" t="s">
        <v>411</v>
      </c>
      <c r="E76" s="68"/>
      <c r="F76" s="71" t="s">
        <v>410</v>
      </c>
      <c r="G76" s="70" t="s">
        <v>411</v>
      </c>
      <c r="H76" s="68"/>
      <c r="I76" s="68"/>
      <c r="J76" s="69" t="s">
        <v>410</v>
      </c>
      <c r="K76" s="68"/>
      <c r="L76" s="3"/>
    </row>
    <row r="77" spans="2:12" s="2" customFormat="1" ht="14.45" customHeight="1">
      <c r="B77" s="5"/>
      <c r="C77" s="4"/>
      <c r="D77" s="4"/>
      <c r="E77" s="4"/>
      <c r="F77" s="4"/>
      <c r="G77" s="4"/>
      <c r="H77" s="4"/>
      <c r="I77" s="4"/>
      <c r="J77" s="4"/>
      <c r="K77" s="4"/>
      <c r="L77" s="3"/>
    </row>
    <row r="81" spans="2:47" s="2" customFormat="1" ht="6.95" customHeight="1">
      <c r="B81" s="57"/>
      <c r="C81" s="56"/>
      <c r="D81" s="56"/>
      <c r="E81" s="56"/>
      <c r="F81" s="56"/>
      <c r="G81" s="56"/>
      <c r="H81" s="56"/>
      <c r="I81" s="56"/>
      <c r="J81" s="56"/>
      <c r="K81" s="56"/>
      <c r="L81" s="3"/>
    </row>
    <row r="82" spans="2:47" s="2" customFormat="1" ht="24.95" customHeight="1">
      <c r="B82" s="3"/>
      <c r="C82" s="55" t="s">
        <v>409</v>
      </c>
      <c r="L82" s="3"/>
    </row>
    <row r="83" spans="2:47" s="2" customFormat="1" ht="6.95" customHeight="1">
      <c r="B83" s="3"/>
      <c r="L83" s="3"/>
    </row>
    <row r="84" spans="2:47" s="2" customFormat="1" ht="12" customHeight="1">
      <c r="B84" s="3"/>
      <c r="C84" s="52" t="s">
        <v>395</v>
      </c>
      <c r="L84" s="3"/>
    </row>
    <row r="85" spans="2:47" s="2" customFormat="1" ht="26.25" customHeight="1">
      <c r="B85" s="3"/>
      <c r="E85" s="258" t="str">
        <f>E7</f>
        <v>Realizace úspor energie, areál NPK, a.s. Správní budova v Litomyšli - rekuperace (aktualizace 08/2022)</v>
      </c>
      <c r="F85" s="259"/>
      <c r="G85" s="259"/>
      <c r="H85" s="259"/>
      <c r="L85" s="3"/>
    </row>
    <row r="86" spans="2:47" s="2" customFormat="1" ht="12" customHeight="1">
      <c r="B86" s="3"/>
      <c r="C86" s="52" t="s">
        <v>394</v>
      </c>
      <c r="L86" s="3"/>
    </row>
    <row r="87" spans="2:47" s="2" customFormat="1" ht="16.5" customHeight="1">
      <c r="B87" s="3"/>
      <c r="E87" s="256" t="str">
        <f>E9</f>
        <v>D.1.4.1 - SILNOPROUDÁ ELEKTROTECHNIKA</v>
      </c>
      <c r="F87" s="257"/>
      <c r="G87" s="257"/>
      <c r="H87" s="257"/>
      <c r="L87" s="3"/>
    </row>
    <row r="88" spans="2:47" s="2" customFormat="1" ht="6.95" customHeight="1">
      <c r="B88" s="3"/>
      <c r="L88" s="3"/>
    </row>
    <row r="89" spans="2:47" s="2" customFormat="1" ht="12" customHeight="1">
      <c r="B89" s="3"/>
      <c r="C89" s="52" t="s">
        <v>393</v>
      </c>
      <c r="F89" s="53" t="str">
        <f>F12</f>
        <v>Litomyšl</v>
      </c>
      <c r="I89" s="52" t="s">
        <v>392</v>
      </c>
      <c r="J89" s="54" t="str">
        <f>IF(J12="","",J12)</f>
        <v>1. 8. 2022</v>
      </c>
      <c r="L89" s="3"/>
    </row>
    <row r="90" spans="2:47" s="2" customFormat="1" ht="6.95" customHeight="1">
      <c r="B90" s="3"/>
      <c r="L90" s="3"/>
    </row>
    <row r="91" spans="2:47" s="2" customFormat="1" ht="15.2" customHeight="1">
      <c r="B91" s="3"/>
      <c r="C91" s="52" t="s">
        <v>391</v>
      </c>
      <c r="F91" s="53" t="str">
        <f>E15</f>
        <v>Pardubický kraj,Komenského n.125,532 11 Pardubice</v>
      </c>
      <c r="I91" s="52" t="s">
        <v>390</v>
      </c>
      <c r="J91" s="51" t="str">
        <f>E21</f>
        <v>K I P spol. s r. o.</v>
      </c>
      <c r="L91" s="3"/>
    </row>
    <row r="92" spans="2:47" s="2" customFormat="1" ht="15.2" customHeight="1">
      <c r="B92" s="3"/>
      <c r="C92" s="52" t="s">
        <v>389</v>
      </c>
      <c r="F92" s="53" t="str">
        <f>IF(E18="","",E18)</f>
        <v>Vyplň údaj</v>
      </c>
      <c r="I92" s="52" t="s">
        <v>388</v>
      </c>
      <c r="J92" s="51" t="str">
        <f>E24</f>
        <v xml:space="preserve"> </v>
      </c>
      <c r="L92" s="3"/>
    </row>
    <row r="93" spans="2:47" s="2" customFormat="1" ht="10.35" customHeight="1">
      <c r="B93" s="3"/>
      <c r="L93" s="3"/>
    </row>
    <row r="94" spans="2:47" s="2" customFormat="1" ht="29.25" customHeight="1">
      <c r="B94" s="3"/>
      <c r="C94" s="67" t="s">
        <v>408</v>
      </c>
      <c r="D94" s="65"/>
      <c r="E94" s="65"/>
      <c r="F94" s="65"/>
      <c r="G94" s="65"/>
      <c r="H94" s="65"/>
      <c r="I94" s="65"/>
      <c r="J94" s="66" t="s">
        <v>380</v>
      </c>
      <c r="K94" s="65"/>
      <c r="L94" s="3"/>
    </row>
    <row r="95" spans="2:47" s="2" customFormat="1" ht="10.35" customHeight="1">
      <c r="B95" s="3"/>
      <c r="L95" s="3"/>
    </row>
    <row r="96" spans="2:47" s="2" customFormat="1" ht="22.9" customHeight="1">
      <c r="B96" s="3"/>
      <c r="C96" s="64" t="s">
        <v>407</v>
      </c>
      <c r="J96" s="63">
        <f>J126</f>
        <v>0</v>
      </c>
      <c r="L96" s="3"/>
      <c r="AU96" s="7" t="s">
        <v>370</v>
      </c>
    </row>
    <row r="97" spans="2:12" s="58" customFormat="1" ht="24.95" customHeight="1">
      <c r="B97" s="59"/>
      <c r="D97" s="62" t="s">
        <v>406</v>
      </c>
      <c r="E97" s="61"/>
      <c r="F97" s="61"/>
      <c r="G97" s="61"/>
      <c r="H97" s="61"/>
      <c r="I97" s="61"/>
      <c r="J97" s="60">
        <f>J127</f>
        <v>0</v>
      </c>
      <c r="L97" s="59"/>
    </row>
    <row r="98" spans="2:12" s="58" customFormat="1" ht="24.95" customHeight="1">
      <c r="B98" s="59"/>
      <c r="D98" s="62" t="s">
        <v>405</v>
      </c>
      <c r="E98" s="61"/>
      <c r="F98" s="61"/>
      <c r="G98" s="61"/>
      <c r="H98" s="61"/>
      <c r="I98" s="61"/>
      <c r="J98" s="60">
        <f>J143</f>
        <v>0</v>
      </c>
      <c r="L98" s="59"/>
    </row>
    <row r="99" spans="2:12" s="58" customFormat="1" ht="24.95" customHeight="1">
      <c r="B99" s="59"/>
      <c r="D99" s="62" t="s">
        <v>404</v>
      </c>
      <c r="E99" s="61"/>
      <c r="F99" s="61"/>
      <c r="G99" s="61"/>
      <c r="H99" s="61"/>
      <c r="I99" s="61"/>
      <c r="J99" s="60">
        <f>J145</f>
        <v>0</v>
      </c>
      <c r="L99" s="59"/>
    </row>
    <row r="100" spans="2:12" s="58" customFormat="1" ht="24.95" customHeight="1">
      <c r="B100" s="59"/>
      <c r="D100" s="62" t="s">
        <v>403</v>
      </c>
      <c r="E100" s="61"/>
      <c r="F100" s="61"/>
      <c r="G100" s="61"/>
      <c r="H100" s="61"/>
      <c r="I100" s="61"/>
      <c r="J100" s="60">
        <f>J153</f>
        <v>0</v>
      </c>
      <c r="L100" s="59"/>
    </row>
    <row r="101" spans="2:12" s="58" customFormat="1" ht="24.95" customHeight="1">
      <c r="B101" s="59"/>
      <c r="D101" s="62" t="s">
        <v>402</v>
      </c>
      <c r="E101" s="61"/>
      <c r="F101" s="61"/>
      <c r="G101" s="61"/>
      <c r="H101" s="61"/>
      <c r="I101" s="61"/>
      <c r="J101" s="60">
        <f>J169</f>
        <v>0</v>
      </c>
      <c r="L101" s="59"/>
    </row>
    <row r="102" spans="2:12" s="58" customFormat="1" ht="24.95" customHeight="1">
      <c r="B102" s="59"/>
      <c r="D102" s="62" t="s">
        <v>401</v>
      </c>
      <c r="E102" s="61"/>
      <c r="F102" s="61"/>
      <c r="G102" s="61"/>
      <c r="H102" s="61"/>
      <c r="I102" s="61"/>
      <c r="J102" s="60">
        <f>J182</f>
        <v>0</v>
      </c>
      <c r="L102" s="59"/>
    </row>
    <row r="103" spans="2:12" s="58" customFormat="1" ht="24.95" customHeight="1">
      <c r="B103" s="59"/>
      <c r="D103" s="62" t="s">
        <v>400</v>
      </c>
      <c r="E103" s="61"/>
      <c r="F103" s="61"/>
      <c r="G103" s="61"/>
      <c r="H103" s="61"/>
      <c r="I103" s="61"/>
      <c r="J103" s="60">
        <f>J213</f>
        <v>0</v>
      </c>
      <c r="L103" s="59"/>
    </row>
    <row r="104" spans="2:12" s="58" customFormat="1" ht="24.95" customHeight="1">
      <c r="B104" s="59"/>
      <c r="D104" s="62" t="s">
        <v>399</v>
      </c>
      <c r="E104" s="61"/>
      <c r="F104" s="61"/>
      <c r="G104" s="61"/>
      <c r="H104" s="61"/>
      <c r="I104" s="61"/>
      <c r="J104" s="60">
        <f>J215</f>
        <v>0</v>
      </c>
      <c r="L104" s="59"/>
    </row>
    <row r="105" spans="2:12" s="58" customFormat="1" ht="24.95" customHeight="1">
      <c r="B105" s="59"/>
      <c r="D105" s="62" t="s">
        <v>398</v>
      </c>
      <c r="E105" s="61"/>
      <c r="F105" s="61"/>
      <c r="G105" s="61"/>
      <c r="H105" s="61"/>
      <c r="I105" s="61"/>
      <c r="J105" s="60">
        <f>J230</f>
        <v>0</v>
      </c>
      <c r="L105" s="59"/>
    </row>
    <row r="106" spans="2:12" s="58" customFormat="1" ht="24.95" customHeight="1">
      <c r="B106" s="59"/>
      <c r="D106" s="62" t="s">
        <v>397</v>
      </c>
      <c r="E106" s="61"/>
      <c r="F106" s="61"/>
      <c r="G106" s="61"/>
      <c r="H106" s="61"/>
      <c r="I106" s="61"/>
      <c r="J106" s="60">
        <f>J237</f>
        <v>0</v>
      </c>
      <c r="L106" s="59"/>
    </row>
    <row r="107" spans="2:12" s="2" customFormat="1" ht="21.75" customHeight="1">
      <c r="B107" s="3"/>
      <c r="L107" s="3"/>
    </row>
    <row r="108" spans="2:12" s="2" customFormat="1" ht="6.95" customHeight="1">
      <c r="B108" s="5"/>
      <c r="C108" s="4"/>
      <c r="D108" s="4"/>
      <c r="E108" s="4"/>
      <c r="F108" s="4"/>
      <c r="G108" s="4"/>
      <c r="H108" s="4"/>
      <c r="I108" s="4"/>
      <c r="J108" s="4"/>
      <c r="K108" s="4"/>
      <c r="L108" s="3"/>
    </row>
    <row r="112" spans="2:12" s="2" customFormat="1" ht="6.95" customHeight="1">
      <c r="B112" s="57"/>
      <c r="C112" s="56"/>
      <c r="D112" s="56"/>
      <c r="E112" s="56"/>
      <c r="F112" s="56"/>
      <c r="G112" s="56"/>
      <c r="H112" s="56"/>
      <c r="I112" s="56"/>
      <c r="J112" s="56"/>
      <c r="K112" s="56"/>
      <c r="L112" s="3"/>
    </row>
    <row r="113" spans="2:65" s="2" customFormat="1" ht="24.95" customHeight="1">
      <c r="B113" s="3"/>
      <c r="C113" s="55" t="s">
        <v>396</v>
      </c>
      <c r="L113" s="3"/>
    </row>
    <row r="114" spans="2:65" s="2" customFormat="1" ht="6.95" customHeight="1">
      <c r="B114" s="3"/>
      <c r="L114" s="3"/>
    </row>
    <row r="115" spans="2:65" s="2" customFormat="1" ht="12" customHeight="1">
      <c r="B115" s="3"/>
      <c r="C115" s="52" t="s">
        <v>395</v>
      </c>
      <c r="L115" s="3"/>
    </row>
    <row r="116" spans="2:65" s="2" customFormat="1" ht="26.25" customHeight="1">
      <c r="B116" s="3"/>
      <c r="E116" s="258" t="str">
        <f>E7</f>
        <v>Realizace úspor energie, areál NPK, a.s. Správní budova v Litomyšli - rekuperace (aktualizace 08/2022)</v>
      </c>
      <c r="F116" s="259"/>
      <c r="G116" s="259"/>
      <c r="H116" s="259"/>
      <c r="L116" s="3"/>
    </row>
    <row r="117" spans="2:65" s="2" customFormat="1" ht="12" customHeight="1">
      <c r="B117" s="3"/>
      <c r="C117" s="52" t="s">
        <v>394</v>
      </c>
      <c r="L117" s="3"/>
    </row>
    <row r="118" spans="2:65" s="2" customFormat="1" ht="16.5" customHeight="1">
      <c r="B118" s="3"/>
      <c r="E118" s="256" t="str">
        <f>E9</f>
        <v>D.1.4.1 - SILNOPROUDÁ ELEKTROTECHNIKA</v>
      </c>
      <c r="F118" s="257"/>
      <c r="G118" s="257"/>
      <c r="H118" s="257"/>
      <c r="L118" s="3"/>
    </row>
    <row r="119" spans="2:65" s="2" customFormat="1" ht="6.95" customHeight="1">
      <c r="B119" s="3"/>
      <c r="L119" s="3"/>
    </row>
    <row r="120" spans="2:65" s="2" customFormat="1" ht="12" customHeight="1">
      <c r="B120" s="3"/>
      <c r="C120" s="52" t="s">
        <v>393</v>
      </c>
      <c r="F120" s="53" t="str">
        <f>F12</f>
        <v>Litomyšl</v>
      </c>
      <c r="I120" s="52" t="s">
        <v>392</v>
      </c>
      <c r="J120" s="54" t="str">
        <f>IF(J12="","",J12)</f>
        <v>1. 8. 2022</v>
      </c>
      <c r="L120" s="3"/>
    </row>
    <row r="121" spans="2:65" s="2" customFormat="1" ht="6.95" customHeight="1">
      <c r="B121" s="3"/>
      <c r="L121" s="3"/>
    </row>
    <row r="122" spans="2:65" s="2" customFormat="1" ht="15.2" customHeight="1">
      <c r="B122" s="3"/>
      <c r="C122" s="52" t="s">
        <v>391</v>
      </c>
      <c r="F122" s="53" t="str">
        <f>E15</f>
        <v>Pardubický kraj,Komenského n.125,532 11 Pardubice</v>
      </c>
      <c r="I122" s="52" t="s">
        <v>390</v>
      </c>
      <c r="J122" s="51" t="str">
        <f>E21</f>
        <v>K I P spol. s r. o.</v>
      </c>
      <c r="L122" s="3"/>
    </row>
    <row r="123" spans="2:65" s="2" customFormat="1" ht="15.2" customHeight="1">
      <c r="B123" s="3"/>
      <c r="C123" s="52" t="s">
        <v>389</v>
      </c>
      <c r="F123" s="53" t="str">
        <f>IF(E18="","",E18)</f>
        <v>Vyplň údaj</v>
      </c>
      <c r="I123" s="52" t="s">
        <v>388</v>
      </c>
      <c r="J123" s="51" t="str">
        <f>E24</f>
        <v xml:space="preserve"> </v>
      </c>
      <c r="L123" s="3"/>
    </row>
    <row r="124" spans="2:65" s="2" customFormat="1" ht="10.35" customHeight="1">
      <c r="B124" s="3"/>
      <c r="L124" s="3"/>
    </row>
    <row r="125" spans="2:65" s="43" customFormat="1" ht="29.25" customHeight="1">
      <c r="B125" s="47"/>
      <c r="C125" s="50" t="s">
        <v>387</v>
      </c>
      <c r="D125" s="49" t="s">
        <v>386</v>
      </c>
      <c r="E125" s="49" t="s">
        <v>385</v>
      </c>
      <c r="F125" s="49" t="s">
        <v>384</v>
      </c>
      <c r="G125" s="49" t="s">
        <v>383</v>
      </c>
      <c r="H125" s="49" t="s">
        <v>382</v>
      </c>
      <c r="I125" s="49" t="s">
        <v>381</v>
      </c>
      <c r="J125" s="49" t="s">
        <v>380</v>
      </c>
      <c r="K125" s="48" t="s">
        <v>379</v>
      </c>
      <c r="L125" s="47"/>
      <c r="M125" s="46" t="s">
        <v>6</v>
      </c>
      <c r="N125" s="45" t="s">
        <v>378</v>
      </c>
      <c r="O125" s="45" t="s">
        <v>377</v>
      </c>
      <c r="P125" s="45" t="s">
        <v>376</v>
      </c>
      <c r="Q125" s="45" t="s">
        <v>375</v>
      </c>
      <c r="R125" s="45" t="s">
        <v>374</v>
      </c>
      <c r="S125" s="45" t="s">
        <v>373</v>
      </c>
      <c r="T125" s="44" t="s">
        <v>372</v>
      </c>
    </row>
    <row r="126" spans="2:65" s="2" customFormat="1" ht="22.9" customHeight="1">
      <c r="B126" s="3"/>
      <c r="C126" s="42" t="s">
        <v>371</v>
      </c>
      <c r="J126" s="41">
        <f>BK126</f>
        <v>0</v>
      </c>
      <c r="L126" s="3"/>
      <c r="M126" s="40"/>
      <c r="N126" s="38"/>
      <c r="O126" s="38"/>
      <c r="P126" s="39">
        <f>P127+P143+P145+P153+P169+P182+P213+P215+P230+P237</f>
        <v>0</v>
      </c>
      <c r="Q126" s="38"/>
      <c r="R126" s="39">
        <f>R127+R143+R145+R153+R169+R182+R213+R215+R230+R237</f>
        <v>0</v>
      </c>
      <c r="S126" s="38"/>
      <c r="T126" s="37">
        <f>T127+T143+T145+T153+T169+T182+T213+T215+T230+T237</f>
        <v>0</v>
      </c>
      <c r="AT126" s="7" t="s">
        <v>26</v>
      </c>
      <c r="AU126" s="7" t="s">
        <v>370</v>
      </c>
      <c r="BK126" s="36">
        <f>BK127+BK143+BK145+BK153+BK169+BK182+BK213+BK215+BK230+BK237</f>
        <v>0</v>
      </c>
    </row>
    <row r="127" spans="2:65" s="25" customFormat="1" ht="25.9" customHeight="1">
      <c r="B127" s="32"/>
      <c r="D127" s="27" t="s">
        <v>26</v>
      </c>
      <c r="E127" s="35" t="s">
        <v>369</v>
      </c>
      <c r="F127" s="35" t="s">
        <v>368</v>
      </c>
      <c r="I127" s="34"/>
      <c r="J127" s="33">
        <f>BK127</f>
        <v>0</v>
      </c>
      <c r="L127" s="32"/>
      <c r="M127" s="31"/>
      <c r="P127" s="30">
        <f>SUM(P128:P142)</f>
        <v>0</v>
      </c>
      <c r="R127" s="30">
        <f>SUM(R128:R142)</f>
        <v>0</v>
      </c>
      <c r="T127" s="29">
        <f>SUM(T128:T142)</f>
        <v>0</v>
      </c>
      <c r="AR127" s="27" t="s">
        <v>2</v>
      </c>
      <c r="AT127" s="28" t="s">
        <v>26</v>
      </c>
      <c r="AU127" s="28" t="s">
        <v>25</v>
      </c>
      <c r="AY127" s="27" t="s">
        <v>3</v>
      </c>
      <c r="BK127" s="26">
        <f>SUM(BK128:BK142)</f>
        <v>0</v>
      </c>
    </row>
    <row r="128" spans="2:65" s="2" customFormat="1" ht="16.5" customHeight="1">
      <c r="B128" s="3"/>
      <c r="C128" s="20" t="s">
        <v>2</v>
      </c>
      <c r="D128" s="20" t="s">
        <v>4</v>
      </c>
      <c r="E128" s="19" t="s">
        <v>367</v>
      </c>
      <c r="F128" s="14" t="s">
        <v>366</v>
      </c>
      <c r="G128" s="18" t="s">
        <v>30</v>
      </c>
      <c r="H128" s="17">
        <v>4</v>
      </c>
      <c r="I128" s="16"/>
      <c r="J128" s="15">
        <f t="shared" ref="J128:J142" si="0">ROUND(I128*H128,2)</f>
        <v>0</v>
      </c>
      <c r="K128" s="14" t="s">
        <v>7</v>
      </c>
      <c r="L128" s="3"/>
      <c r="M128" s="24" t="s">
        <v>6</v>
      </c>
      <c r="N128" s="23" t="s">
        <v>5</v>
      </c>
      <c r="P128" s="22">
        <f t="shared" ref="P128:P142" si="1">O128*H128</f>
        <v>0</v>
      </c>
      <c r="Q128" s="22">
        <v>0</v>
      </c>
      <c r="R128" s="22">
        <f t="shared" ref="R128:R142" si="2">Q128*H128</f>
        <v>0</v>
      </c>
      <c r="S128" s="22">
        <v>0</v>
      </c>
      <c r="T128" s="21">
        <f t="shared" ref="T128:T142" si="3">S128*H128</f>
        <v>0</v>
      </c>
      <c r="AR128" s="6" t="s">
        <v>1</v>
      </c>
      <c r="AT128" s="6" t="s">
        <v>4</v>
      </c>
      <c r="AU128" s="6" t="s">
        <v>2</v>
      </c>
      <c r="AY128" s="7" t="s">
        <v>3</v>
      </c>
      <c r="BE128" s="8">
        <f t="shared" ref="BE128:BE142" si="4">IF(N128="základní",J128,0)</f>
        <v>0</v>
      </c>
      <c r="BF128" s="8">
        <f t="shared" ref="BF128:BF142" si="5">IF(N128="snížená",J128,0)</f>
        <v>0</v>
      </c>
      <c r="BG128" s="8">
        <f t="shared" ref="BG128:BG142" si="6">IF(N128="zákl. přenesená",J128,0)</f>
        <v>0</v>
      </c>
      <c r="BH128" s="8">
        <f t="shared" ref="BH128:BH142" si="7">IF(N128="sníž. přenesená",J128,0)</f>
        <v>0</v>
      </c>
      <c r="BI128" s="8">
        <f t="shared" ref="BI128:BI142" si="8">IF(N128="nulová",J128,0)</f>
        <v>0</v>
      </c>
      <c r="BJ128" s="7" t="s">
        <v>2</v>
      </c>
      <c r="BK128" s="8">
        <f t="shared" ref="BK128:BK142" si="9">ROUND(I128*H128,2)</f>
        <v>0</v>
      </c>
      <c r="BL128" s="7" t="s">
        <v>1</v>
      </c>
      <c r="BM128" s="6" t="s">
        <v>365</v>
      </c>
    </row>
    <row r="129" spans="2:65" s="2" customFormat="1" ht="24.2" customHeight="1">
      <c r="B129" s="3"/>
      <c r="C129" s="20" t="s">
        <v>365</v>
      </c>
      <c r="D129" s="20" t="s">
        <v>4</v>
      </c>
      <c r="E129" s="19" t="s">
        <v>364</v>
      </c>
      <c r="F129" s="14" t="s">
        <v>363</v>
      </c>
      <c r="G129" s="18" t="s">
        <v>30</v>
      </c>
      <c r="H129" s="17">
        <v>4</v>
      </c>
      <c r="I129" s="16"/>
      <c r="J129" s="15">
        <f t="shared" si="0"/>
        <v>0</v>
      </c>
      <c r="K129" s="14" t="s">
        <v>7</v>
      </c>
      <c r="L129" s="3"/>
      <c r="M129" s="24" t="s">
        <v>6</v>
      </c>
      <c r="N129" s="23" t="s">
        <v>5</v>
      </c>
      <c r="P129" s="22">
        <f t="shared" si="1"/>
        <v>0</v>
      </c>
      <c r="Q129" s="22">
        <v>0</v>
      </c>
      <c r="R129" s="22">
        <f t="shared" si="2"/>
        <v>0</v>
      </c>
      <c r="S129" s="22">
        <v>0</v>
      </c>
      <c r="T129" s="21">
        <f t="shared" si="3"/>
        <v>0</v>
      </c>
      <c r="AR129" s="6" t="s">
        <v>1</v>
      </c>
      <c r="AT129" s="6" t="s">
        <v>4</v>
      </c>
      <c r="AU129" s="6" t="s">
        <v>2</v>
      </c>
      <c r="AY129" s="7" t="s">
        <v>3</v>
      </c>
      <c r="BE129" s="8">
        <f t="shared" si="4"/>
        <v>0</v>
      </c>
      <c r="BF129" s="8">
        <f t="shared" si="5"/>
        <v>0</v>
      </c>
      <c r="BG129" s="8">
        <f t="shared" si="6"/>
        <v>0</v>
      </c>
      <c r="BH129" s="8">
        <f t="shared" si="7"/>
        <v>0</v>
      </c>
      <c r="BI129" s="8">
        <f t="shared" si="8"/>
        <v>0</v>
      </c>
      <c r="BJ129" s="7" t="s">
        <v>2</v>
      </c>
      <c r="BK129" s="8">
        <f t="shared" si="9"/>
        <v>0</v>
      </c>
      <c r="BL129" s="7" t="s">
        <v>1</v>
      </c>
      <c r="BM129" s="6" t="s">
        <v>1</v>
      </c>
    </row>
    <row r="130" spans="2:65" s="2" customFormat="1" ht="16.5" customHeight="1">
      <c r="B130" s="3"/>
      <c r="C130" s="20" t="s">
        <v>362</v>
      </c>
      <c r="D130" s="20" t="s">
        <v>4</v>
      </c>
      <c r="E130" s="19" t="s">
        <v>361</v>
      </c>
      <c r="F130" s="14" t="s">
        <v>360</v>
      </c>
      <c r="G130" s="18" t="s">
        <v>30</v>
      </c>
      <c r="H130" s="17">
        <v>2</v>
      </c>
      <c r="I130" s="16"/>
      <c r="J130" s="15">
        <f t="shared" si="0"/>
        <v>0</v>
      </c>
      <c r="K130" s="14" t="s">
        <v>7</v>
      </c>
      <c r="L130" s="3"/>
      <c r="M130" s="24" t="s">
        <v>6</v>
      </c>
      <c r="N130" s="23" t="s">
        <v>5</v>
      </c>
      <c r="P130" s="22">
        <f t="shared" si="1"/>
        <v>0</v>
      </c>
      <c r="Q130" s="22">
        <v>0</v>
      </c>
      <c r="R130" s="22">
        <f t="shared" si="2"/>
        <v>0</v>
      </c>
      <c r="S130" s="22">
        <v>0</v>
      </c>
      <c r="T130" s="21">
        <f t="shared" si="3"/>
        <v>0</v>
      </c>
      <c r="AR130" s="6" t="s">
        <v>1</v>
      </c>
      <c r="AT130" s="6" t="s">
        <v>4</v>
      </c>
      <c r="AU130" s="6" t="s">
        <v>2</v>
      </c>
      <c r="AY130" s="7" t="s">
        <v>3</v>
      </c>
      <c r="BE130" s="8">
        <f t="shared" si="4"/>
        <v>0</v>
      </c>
      <c r="BF130" s="8">
        <f t="shared" si="5"/>
        <v>0</v>
      </c>
      <c r="BG130" s="8">
        <f t="shared" si="6"/>
        <v>0</v>
      </c>
      <c r="BH130" s="8">
        <f t="shared" si="7"/>
        <v>0</v>
      </c>
      <c r="BI130" s="8">
        <f t="shared" si="8"/>
        <v>0</v>
      </c>
      <c r="BJ130" s="7" t="s">
        <v>2</v>
      </c>
      <c r="BK130" s="8">
        <f t="shared" si="9"/>
        <v>0</v>
      </c>
      <c r="BL130" s="7" t="s">
        <v>1</v>
      </c>
      <c r="BM130" s="6" t="s">
        <v>355</v>
      </c>
    </row>
    <row r="131" spans="2:65" s="2" customFormat="1" ht="16.5" customHeight="1">
      <c r="B131" s="3"/>
      <c r="C131" s="20" t="s">
        <v>1</v>
      </c>
      <c r="D131" s="20" t="s">
        <v>4</v>
      </c>
      <c r="E131" s="19" t="s">
        <v>359</v>
      </c>
      <c r="F131" s="14" t="s">
        <v>358</v>
      </c>
      <c r="G131" s="18" t="s">
        <v>8</v>
      </c>
      <c r="H131" s="17">
        <v>1</v>
      </c>
      <c r="I131" s="16"/>
      <c r="J131" s="15">
        <f t="shared" si="0"/>
        <v>0</v>
      </c>
      <c r="K131" s="14" t="s">
        <v>7</v>
      </c>
      <c r="L131" s="3"/>
      <c r="M131" s="24" t="s">
        <v>6</v>
      </c>
      <c r="N131" s="23" t="s">
        <v>5</v>
      </c>
      <c r="P131" s="22">
        <f t="shared" si="1"/>
        <v>0</v>
      </c>
      <c r="Q131" s="22">
        <v>0</v>
      </c>
      <c r="R131" s="22">
        <f t="shared" si="2"/>
        <v>0</v>
      </c>
      <c r="S131" s="22">
        <v>0</v>
      </c>
      <c r="T131" s="21">
        <f t="shared" si="3"/>
        <v>0</v>
      </c>
      <c r="AR131" s="6" t="s">
        <v>1</v>
      </c>
      <c r="AT131" s="6" t="s">
        <v>4</v>
      </c>
      <c r="AU131" s="6" t="s">
        <v>2</v>
      </c>
      <c r="AY131" s="7" t="s">
        <v>3</v>
      </c>
      <c r="BE131" s="8">
        <f t="shared" si="4"/>
        <v>0</v>
      </c>
      <c r="BF131" s="8">
        <f t="shared" si="5"/>
        <v>0</v>
      </c>
      <c r="BG131" s="8">
        <f t="shared" si="6"/>
        <v>0</v>
      </c>
      <c r="BH131" s="8">
        <f t="shared" si="7"/>
        <v>0</v>
      </c>
      <c r="BI131" s="8">
        <f t="shared" si="8"/>
        <v>0</v>
      </c>
      <c r="BJ131" s="7" t="s">
        <v>2</v>
      </c>
      <c r="BK131" s="8">
        <f t="shared" si="9"/>
        <v>0</v>
      </c>
      <c r="BL131" s="7" t="s">
        <v>1</v>
      </c>
      <c r="BM131" s="6" t="s">
        <v>349</v>
      </c>
    </row>
    <row r="132" spans="2:65" s="2" customFormat="1" ht="16.5" customHeight="1">
      <c r="B132" s="3"/>
      <c r="C132" s="20" t="s">
        <v>357</v>
      </c>
      <c r="D132" s="20" t="s">
        <v>4</v>
      </c>
      <c r="E132" s="19" t="s">
        <v>356</v>
      </c>
      <c r="F132" s="14" t="s">
        <v>318</v>
      </c>
      <c r="G132" s="18" t="s">
        <v>8</v>
      </c>
      <c r="H132" s="17">
        <v>3</v>
      </c>
      <c r="I132" s="16"/>
      <c r="J132" s="15">
        <f t="shared" si="0"/>
        <v>0</v>
      </c>
      <c r="K132" s="14" t="s">
        <v>7</v>
      </c>
      <c r="L132" s="3"/>
      <c r="M132" s="24" t="s">
        <v>6</v>
      </c>
      <c r="N132" s="23" t="s">
        <v>5</v>
      </c>
      <c r="P132" s="22">
        <f t="shared" si="1"/>
        <v>0</v>
      </c>
      <c r="Q132" s="22">
        <v>0</v>
      </c>
      <c r="R132" s="22">
        <f t="shared" si="2"/>
        <v>0</v>
      </c>
      <c r="S132" s="22">
        <v>0</v>
      </c>
      <c r="T132" s="21">
        <f t="shared" si="3"/>
        <v>0</v>
      </c>
      <c r="AR132" s="6" t="s">
        <v>1</v>
      </c>
      <c r="AT132" s="6" t="s">
        <v>4</v>
      </c>
      <c r="AU132" s="6" t="s">
        <v>2</v>
      </c>
      <c r="AY132" s="7" t="s">
        <v>3</v>
      </c>
      <c r="BE132" s="8">
        <f t="shared" si="4"/>
        <v>0</v>
      </c>
      <c r="BF132" s="8">
        <f t="shared" si="5"/>
        <v>0</v>
      </c>
      <c r="BG132" s="8">
        <f t="shared" si="6"/>
        <v>0</v>
      </c>
      <c r="BH132" s="8">
        <f t="shared" si="7"/>
        <v>0</v>
      </c>
      <c r="BI132" s="8">
        <f t="shared" si="8"/>
        <v>0</v>
      </c>
      <c r="BJ132" s="7" t="s">
        <v>2</v>
      </c>
      <c r="BK132" s="8">
        <f t="shared" si="9"/>
        <v>0</v>
      </c>
      <c r="BL132" s="7" t="s">
        <v>1</v>
      </c>
      <c r="BM132" s="6" t="s">
        <v>344</v>
      </c>
    </row>
    <row r="133" spans="2:65" s="2" customFormat="1" ht="16.5" customHeight="1">
      <c r="B133" s="3"/>
      <c r="C133" s="20" t="s">
        <v>355</v>
      </c>
      <c r="D133" s="20" t="s">
        <v>4</v>
      </c>
      <c r="E133" s="19" t="s">
        <v>354</v>
      </c>
      <c r="F133" s="14" t="s">
        <v>353</v>
      </c>
      <c r="G133" s="18" t="s">
        <v>30</v>
      </c>
      <c r="H133" s="17">
        <v>3</v>
      </c>
      <c r="I133" s="16"/>
      <c r="J133" s="15">
        <f t="shared" si="0"/>
        <v>0</v>
      </c>
      <c r="K133" s="14" t="s">
        <v>7</v>
      </c>
      <c r="L133" s="3"/>
      <c r="M133" s="24" t="s">
        <v>6</v>
      </c>
      <c r="N133" s="23" t="s">
        <v>5</v>
      </c>
      <c r="P133" s="22">
        <f t="shared" si="1"/>
        <v>0</v>
      </c>
      <c r="Q133" s="22">
        <v>0</v>
      </c>
      <c r="R133" s="22">
        <f t="shared" si="2"/>
        <v>0</v>
      </c>
      <c r="S133" s="22">
        <v>0</v>
      </c>
      <c r="T133" s="21">
        <f t="shared" si="3"/>
        <v>0</v>
      </c>
      <c r="AR133" s="6" t="s">
        <v>1</v>
      </c>
      <c r="AT133" s="6" t="s">
        <v>4</v>
      </c>
      <c r="AU133" s="6" t="s">
        <v>2</v>
      </c>
      <c r="AY133" s="7" t="s">
        <v>3</v>
      </c>
      <c r="BE133" s="8">
        <f t="shared" si="4"/>
        <v>0</v>
      </c>
      <c r="BF133" s="8">
        <f t="shared" si="5"/>
        <v>0</v>
      </c>
      <c r="BG133" s="8">
        <f t="shared" si="6"/>
        <v>0</v>
      </c>
      <c r="BH133" s="8">
        <f t="shared" si="7"/>
        <v>0</v>
      </c>
      <c r="BI133" s="8">
        <f t="shared" si="8"/>
        <v>0</v>
      </c>
      <c r="BJ133" s="7" t="s">
        <v>2</v>
      </c>
      <c r="BK133" s="8">
        <f t="shared" si="9"/>
        <v>0</v>
      </c>
      <c r="BL133" s="7" t="s">
        <v>1</v>
      </c>
      <c r="BM133" s="6" t="s">
        <v>339</v>
      </c>
    </row>
    <row r="134" spans="2:65" s="2" customFormat="1" ht="16.5" customHeight="1">
      <c r="B134" s="3"/>
      <c r="C134" s="20" t="s">
        <v>352</v>
      </c>
      <c r="D134" s="20" t="s">
        <v>4</v>
      </c>
      <c r="E134" s="19" t="s">
        <v>351</v>
      </c>
      <c r="F134" s="14" t="s">
        <v>350</v>
      </c>
      <c r="G134" s="18" t="s">
        <v>21</v>
      </c>
      <c r="H134" s="17">
        <v>105</v>
      </c>
      <c r="I134" s="16"/>
      <c r="J134" s="15">
        <f t="shared" si="0"/>
        <v>0</v>
      </c>
      <c r="K134" s="14" t="s">
        <v>7</v>
      </c>
      <c r="L134" s="3"/>
      <c r="M134" s="24" t="s">
        <v>6</v>
      </c>
      <c r="N134" s="23" t="s">
        <v>5</v>
      </c>
      <c r="P134" s="22">
        <f t="shared" si="1"/>
        <v>0</v>
      </c>
      <c r="Q134" s="22">
        <v>0</v>
      </c>
      <c r="R134" s="22">
        <f t="shared" si="2"/>
        <v>0</v>
      </c>
      <c r="S134" s="22">
        <v>0</v>
      </c>
      <c r="T134" s="21">
        <f t="shared" si="3"/>
        <v>0</v>
      </c>
      <c r="AR134" s="6" t="s">
        <v>1</v>
      </c>
      <c r="AT134" s="6" t="s">
        <v>4</v>
      </c>
      <c r="AU134" s="6" t="s">
        <v>2</v>
      </c>
      <c r="AY134" s="7" t="s">
        <v>3</v>
      </c>
      <c r="BE134" s="8">
        <f t="shared" si="4"/>
        <v>0</v>
      </c>
      <c r="BF134" s="8">
        <f t="shared" si="5"/>
        <v>0</v>
      </c>
      <c r="BG134" s="8">
        <f t="shared" si="6"/>
        <v>0</v>
      </c>
      <c r="BH134" s="8">
        <f t="shared" si="7"/>
        <v>0</v>
      </c>
      <c r="BI134" s="8">
        <f t="shared" si="8"/>
        <v>0</v>
      </c>
      <c r="BJ134" s="7" t="s">
        <v>2</v>
      </c>
      <c r="BK134" s="8">
        <f t="shared" si="9"/>
        <v>0</v>
      </c>
      <c r="BL134" s="7" t="s">
        <v>1</v>
      </c>
      <c r="BM134" s="6" t="s">
        <v>334</v>
      </c>
    </row>
    <row r="135" spans="2:65" s="2" customFormat="1" ht="16.5" customHeight="1">
      <c r="B135" s="3"/>
      <c r="C135" s="20" t="s">
        <v>349</v>
      </c>
      <c r="D135" s="20" t="s">
        <v>4</v>
      </c>
      <c r="E135" s="19" t="s">
        <v>348</v>
      </c>
      <c r="F135" s="14" t="s">
        <v>312</v>
      </c>
      <c r="G135" s="18" t="s">
        <v>8</v>
      </c>
      <c r="H135" s="17">
        <v>1</v>
      </c>
      <c r="I135" s="16"/>
      <c r="J135" s="15">
        <f t="shared" si="0"/>
        <v>0</v>
      </c>
      <c r="K135" s="14" t="s">
        <v>7</v>
      </c>
      <c r="L135" s="3"/>
      <c r="M135" s="24" t="s">
        <v>6</v>
      </c>
      <c r="N135" s="23" t="s">
        <v>5</v>
      </c>
      <c r="P135" s="22">
        <f t="shared" si="1"/>
        <v>0</v>
      </c>
      <c r="Q135" s="22">
        <v>0</v>
      </c>
      <c r="R135" s="22">
        <f t="shared" si="2"/>
        <v>0</v>
      </c>
      <c r="S135" s="22">
        <v>0</v>
      </c>
      <c r="T135" s="21">
        <f t="shared" si="3"/>
        <v>0</v>
      </c>
      <c r="AR135" s="6" t="s">
        <v>1</v>
      </c>
      <c r="AT135" s="6" t="s">
        <v>4</v>
      </c>
      <c r="AU135" s="6" t="s">
        <v>2</v>
      </c>
      <c r="AY135" s="7" t="s">
        <v>3</v>
      </c>
      <c r="BE135" s="8">
        <f t="shared" si="4"/>
        <v>0</v>
      </c>
      <c r="BF135" s="8">
        <f t="shared" si="5"/>
        <v>0</v>
      </c>
      <c r="BG135" s="8">
        <f t="shared" si="6"/>
        <v>0</v>
      </c>
      <c r="BH135" s="8">
        <f t="shared" si="7"/>
        <v>0</v>
      </c>
      <c r="BI135" s="8">
        <f t="shared" si="8"/>
        <v>0</v>
      </c>
      <c r="BJ135" s="7" t="s">
        <v>2</v>
      </c>
      <c r="BK135" s="8">
        <f t="shared" si="9"/>
        <v>0</v>
      </c>
      <c r="BL135" s="7" t="s">
        <v>1</v>
      </c>
      <c r="BM135" s="6" t="s">
        <v>328</v>
      </c>
    </row>
    <row r="136" spans="2:65" s="2" customFormat="1" ht="24.2" customHeight="1">
      <c r="B136" s="3"/>
      <c r="C136" s="20" t="s">
        <v>347</v>
      </c>
      <c r="D136" s="20" t="s">
        <v>4</v>
      </c>
      <c r="E136" s="19" t="s">
        <v>346</v>
      </c>
      <c r="F136" s="14" t="s">
        <v>345</v>
      </c>
      <c r="G136" s="18" t="s">
        <v>21</v>
      </c>
      <c r="H136" s="17">
        <v>65</v>
      </c>
      <c r="I136" s="16"/>
      <c r="J136" s="15">
        <f t="shared" si="0"/>
        <v>0</v>
      </c>
      <c r="K136" s="14" t="s">
        <v>7</v>
      </c>
      <c r="L136" s="3"/>
      <c r="M136" s="24" t="s">
        <v>6</v>
      </c>
      <c r="N136" s="23" t="s">
        <v>5</v>
      </c>
      <c r="P136" s="22">
        <f t="shared" si="1"/>
        <v>0</v>
      </c>
      <c r="Q136" s="22">
        <v>0</v>
      </c>
      <c r="R136" s="22">
        <f t="shared" si="2"/>
        <v>0</v>
      </c>
      <c r="S136" s="22">
        <v>0</v>
      </c>
      <c r="T136" s="21">
        <f t="shared" si="3"/>
        <v>0</v>
      </c>
      <c r="AR136" s="6" t="s">
        <v>1</v>
      </c>
      <c r="AT136" s="6" t="s">
        <v>4</v>
      </c>
      <c r="AU136" s="6" t="s">
        <v>2</v>
      </c>
      <c r="AY136" s="7" t="s">
        <v>3</v>
      </c>
      <c r="BE136" s="8">
        <f t="shared" si="4"/>
        <v>0</v>
      </c>
      <c r="BF136" s="8">
        <f t="shared" si="5"/>
        <v>0</v>
      </c>
      <c r="BG136" s="8">
        <f t="shared" si="6"/>
        <v>0</v>
      </c>
      <c r="BH136" s="8">
        <f t="shared" si="7"/>
        <v>0</v>
      </c>
      <c r="BI136" s="8">
        <f t="shared" si="8"/>
        <v>0</v>
      </c>
      <c r="BJ136" s="7" t="s">
        <v>2</v>
      </c>
      <c r="BK136" s="8">
        <f t="shared" si="9"/>
        <v>0</v>
      </c>
      <c r="BL136" s="7" t="s">
        <v>1</v>
      </c>
      <c r="BM136" s="6" t="s">
        <v>320</v>
      </c>
    </row>
    <row r="137" spans="2:65" s="2" customFormat="1" ht="16.5" customHeight="1">
      <c r="B137" s="3"/>
      <c r="C137" s="20" t="s">
        <v>344</v>
      </c>
      <c r="D137" s="20" t="s">
        <v>4</v>
      </c>
      <c r="E137" s="19" t="s">
        <v>343</v>
      </c>
      <c r="F137" s="14" t="s">
        <v>342</v>
      </c>
      <c r="G137" s="18" t="s">
        <v>21</v>
      </c>
      <c r="H137" s="17">
        <v>105</v>
      </c>
      <c r="I137" s="16"/>
      <c r="J137" s="15">
        <f t="shared" si="0"/>
        <v>0</v>
      </c>
      <c r="K137" s="14" t="s">
        <v>7</v>
      </c>
      <c r="L137" s="3"/>
      <c r="M137" s="24" t="s">
        <v>6</v>
      </c>
      <c r="N137" s="23" t="s">
        <v>5</v>
      </c>
      <c r="P137" s="22">
        <f t="shared" si="1"/>
        <v>0</v>
      </c>
      <c r="Q137" s="22">
        <v>0</v>
      </c>
      <c r="R137" s="22">
        <f t="shared" si="2"/>
        <v>0</v>
      </c>
      <c r="S137" s="22">
        <v>0</v>
      </c>
      <c r="T137" s="21">
        <f t="shared" si="3"/>
        <v>0</v>
      </c>
      <c r="AR137" s="6" t="s">
        <v>1</v>
      </c>
      <c r="AT137" s="6" t="s">
        <v>4</v>
      </c>
      <c r="AU137" s="6" t="s">
        <v>2</v>
      </c>
      <c r="AY137" s="7" t="s">
        <v>3</v>
      </c>
      <c r="BE137" s="8">
        <f t="shared" si="4"/>
        <v>0</v>
      </c>
      <c r="BF137" s="8">
        <f t="shared" si="5"/>
        <v>0</v>
      </c>
      <c r="BG137" s="8">
        <f t="shared" si="6"/>
        <v>0</v>
      </c>
      <c r="BH137" s="8">
        <f t="shared" si="7"/>
        <v>0</v>
      </c>
      <c r="BI137" s="8">
        <f t="shared" si="8"/>
        <v>0</v>
      </c>
      <c r="BJ137" s="7" t="s">
        <v>2</v>
      </c>
      <c r="BK137" s="8">
        <f t="shared" si="9"/>
        <v>0</v>
      </c>
      <c r="BL137" s="7" t="s">
        <v>1</v>
      </c>
      <c r="BM137" s="6" t="s">
        <v>314</v>
      </c>
    </row>
    <row r="138" spans="2:65" s="2" customFormat="1" ht="16.5" customHeight="1">
      <c r="B138" s="3"/>
      <c r="C138" s="20" t="s">
        <v>341</v>
      </c>
      <c r="D138" s="20" t="s">
        <v>4</v>
      </c>
      <c r="E138" s="19" t="s">
        <v>340</v>
      </c>
      <c r="F138" s="14" t="s">
        <v>303</v>
      </c>
      <c r="G138" s="18" t="s">
        <v>8</v>
      </c>
      <c r="H138" s="17">
        <v>2</v>
      </c>
      <c r="I138" s="16"/>
      <c r="J138" s="15">
        <f t="shared" si="0"/>
        <v>0</v>
      </c>
      <c r="K138" s="14" t="s">
        <v>7</v>
      </c>
      <c r="L138" s="3"/>
      <c r="M138" s="24" t="s">
        <v>6</v>
      </c>
      <c r="N138" s="23" t="s">
        <v>5</v>
      </c>
      <c r="P138" s="22">
        <f t="shared" si="1"/>
        <v>0</v>
      </c>
      <c r="Q138" s="22">
        <v>0</v>
      </c>
      <c r="R138" s="22">
        <f t="shared" si="2"/>
        <v>0</v>
      </c>
      <c r="S138" s="22">
        <v>0</v>
      </c>
      <c r="T138" s="21">
        <f t="shared" si="3"/>
        <v>0</v>
      </c>
      <c r="AR138" s="6" t="s">
        <v>1</v>
      </c>
      <c r="AT138" s="6" t="s">
        <v>4</v>
      </c>
      <c r="AU138" s="6" t="s">
        <v>2</v>
      </c>
      <c r="AY138" s="7" t="s">
        <v>3</v>
      </c>
      <c r="BE138" s="8">
        <f t="shared" si="4"/>
        <v>0</v>
      </c>
      <c r="BF138" s="8">
        <f t="shared" si="5"/>
        <v>0</v>
      </c>
      <c r="BG138" s="8">
        <f t="shared" si="6"/>
        <v>0</v>
      </c>
      <c r="BH138" s="8">
        <f t="shared" si="7"/>
        <v>0</v>
      </c>
      <c r="BI138" s="8">
        <f t="shared" si="8"/>
        <v>0</v>
      </c>
      <c r="BJ138" s="7" t="s">
        <v>2</v>
      </c>
      <c r="BK138" s="8">
        <f t="shared" si="9"/>
        <v>0</v>
      </c>
      <c r="BL138" s="7" t="s">
        <v>1</v>
      </c>
      <c r="BM138" s="6" t="s">
        <v>308</v>
      </c>
    </row>
    <row r="139" spans="2:65" s="2" customFormat="1" ht="21.75" customHeight="1">
      <c r="B139" s="3"/>
      <c r="C139" s="20" t="s">
        <v>339</v>
      </c>
      <c r="D139" s="20" t="s">
        <v>4</v>
      </c>
      <c r="E139" s="19" t="s">
        <v>338</v>
      </c>
      <c r="F139" s="14" t="s">
        <v>337</v>
      </c>
      <c r="G139" s="18" t="s">
        <v>8</v>
      </c>
      <c r="H139" s="17">
        <v>2</v>
      </c>
      <c r="I139" s="16"/>
      <c r="J139" s="15">
        <f t="shared" si="0"/>
        <v>0</v>
      </c>
      <c r="K139" s="14" t="s">
        <v>7</v>
      </c>
      <c r="L139" s="3"/>
      <c r="M139" s="24" t="s">
        <v>6</v>
      </c>
      <c r="N139" s="23" t="s">
        <v>5</v>
      </c>
      <c r="P139" s="22">
        <f t="shared" si="1"/>
        <v>0</v>
      </c>
      <c r="Q139" s="22">
        <v>0</v>
      </c>
      <c r="R139" s="22">
        <f t="shared" si="2"/>
        <v>0</v>
      </c>
      <c r="S139" s="22">
        <v>0</v>
      </c>
      <c r="T139" s="21">
        <f t="shared" si="3"/>
        <v>0</v>
      </c>
      <c r="AR139" s="6" t="s">
        <v>1</v>
      </c>
      <c r="AT139" s="6" t="s">
        <v>4</v>
      </c>
      <c r="AU139" s="6" t="s">
        <v>2</v>
      </c>
      <c r="AY139" s="7" t="s">
        <v>3</v>
      </c>
      <c r="BE139" s="8">
        <f t="shared" si="4"/>
        <v>0</v>
      </c>
      <c r="BF139" s="8">
        <f t="shared" si="5"/>
        <v>0</v>
      </c>
      <c r="BG139" s="8">
        <f t="shared" si="6"/>
        <v>0</v>
      </c>
      <c r="BH139" s="8">
        <f t="shared" si="7"/>
        <v>0</v>
      </c>
      <c r="BI139" s="8">
        <f t="shared" si="8"/>
        <v>0</v>
      </c>
      <c r="BJ139" s="7" t="s">
        <v>2</v>
      </c>
      <c r="BK139" s="8">
        <f t="shared" si="9"/>
        <v>0</v>
      </c>
      <c r="BL139" s="7" t="s">
        <v>1</v>
      </c>
      <c r="BM139" s="6" t="s">
        <v>300</v>
      </c>
    </row>
    <row r="140" spans="2:65" s="2" customFormat="1" ht="16.5" customHeight="1">
      <c r="B140" s="3"/>
      <c r="C140" s="20" t="s">
        <v>336</v>
      </c>
      <c r="D140" s="20" t="s">
        <v>4</v>
      </c>
      <c r="E140" s="19" t="s">
        <v>335</v>
      </c>
      <c r="F140" s="14" t="s">
        <v>135</v>
      </c>
      <c r="G140" s="18" t="s">
        <v>8</v>
      </c>
      <c r="H140" s="17">
        <v>2</v>
      </c>
      <c r="I140" s="16"/>
      <c r="J140" s="15">
        <f t="shared" si="0"/>
        <v>0</v>
      </c>
      <c r="K140" s="14" t="s">
        <v>7</v>
      </c>
      <c r="L140" s="3"/>
      <c r="M140" s="24" t="s">
        <v>6</v>
      </c>
      <c r="N140" s="23" t="s">
        <v>5</v>
      </c>
      <c r="P140" s="22">
        <f t="shared" si="1"/>
        <v>0</v>
      </c>
      <c r="Q140" s="22">
        <v>0</v>
      </c>
      <c r="R140" s="22">
        <f t="shared" si="2"/>
        <v>0</v>
      </c>
      <c r="S140" s="22">
        <v>0</v>
      </c>
      <c r="T140" s="21">
        <f t="shared" si="3"/>
        <v>0</v>
      </c>
      <c r="AR140" s="6" t="s">
        <v>1</v>
      </c>
      <c r="AT140" s="6" t="s">
        <v>4</v>
      </c>
      <c r="AU140" s="6" t="s">
        <v>2</v>
      </c>
      <c r="AY140" s="7" t="s">
        <v>3</v>
      </c>
      <c r="BE140" s="8">
        <f t="shared" si="4"/>
        <v>0</v>
      </c>
      <c r="BF140" s="8">
        <f t="shared" si="5"/>
        <v>0</v>
      </c>
      <c r="BG140" s="8">
        <f t="shared" si="6"/>
        <v>0</v>
      </c>
      <c r="BH140" s="8">
        <f t="shared" si="7"/>
        <v>0</v>
      </c>
      <c r="BI140" s="8">
        <f t="shared" si="8"/>
        <v>0</v>
      </c>
      <c r="BJ140" s="7" t="s">
        <v>2</v>
      </c>
      <c r="BK140" s="8">
        <f t="shared" si="9"/>
        <v>0</v>
      </c>
      <c r="BL140" s="7" t="s">
        <v>1</v>
      </c>
      <c r="BM140" s="6" t="s">
        <v>296</v>
      </c>
    </row>
    <row r="141" spans="2:65" s="2" customFormat="1" ht="16.5" customHeight="1">
      <c r="B141" s="3"/>
      <c r="C141" s="20" t="s">
        <v>334</v>
      </c>
      <c r="D141" s="20" t="s">
        <v>4</v>
      </c>
      <c r="E141" s="19" t="s">
        <v>333</v>
      </c>
      <c r="F141" s="14" t="s">
        <v>123</v>
      </c>
      <c r="G141" s="18" t="s">
        <v>30</v>
      </c>
      <c r="H141" s="17">
        <v>6</v>
      </c>
      <c r="I141" s="16"/>
      <c r="J141" s="15">
        <f t="shared" si="0"/>
        <v>0</v>
      </c>
      <c r="K141" s="14" t="s">
        <v>7</v>
      </c>
      <c r="L141" s="3"/>
      <c r="M141" s="24" t="s">
        <v>6</v>
      </c>
      <c r="N141" s="23" t="s">
        <v>5</v>
      </c>
      <c r="P141" s="22">
        <f t="shared" si="1"/>
        <v>0</v>
      </c>
      <c r="Q141" s="22">
        <v>0</v>
      </c>
      <c r="R141" s="22">
        <f t="shared" si="2"/>
        <v>0</v>
      </c>
      <c r="S141" s="22">
        <v>0</v>
      </c>
      <c r="T141" s="21">
        <f t="shared" si="3"/>
        <v>0</v>
      </c>
      <c r="AR141" s="6" t="s">
        <v>1</v>
      </c>
      <c r="AT141" s="6" t="s">
        <v>4</v>
      </c>
      <c r="AU141" s="6" t="s">
        <v>2</v>
      </c>
      <c r="AY141" s="7" t="s">
        <v>3</v>
      </c>
      <c r="BE141" s="8">
        <f t="shared" si="4"/>
        <v>0</v>
      </c>
      <c r="BF141" s="8">
        <f t="shared" si="5"/>
        <v>0</v>
      </c>
      <c r="BG141" s="8">
        <f t="shared" si="6"/>
        <v>0</v>
      </c>
      <c r="BH141" s="8">
        <f t="shared" si="7"/>
        <v>0</v>
      </c>
      <c r="BI141" s="8">
        <f t="shared" si="8"/>
        <v>0</v>
      </c>
      <c r="BJ141" s="7" t="s">
        <v>2</v>
      </c>
      <c r="BK141" s="8">
        <f t="shared" si="9"/>
        <v>0</v>
      </c>
      <c r="BL141" s="7" t="s">
        <v>1</v>
      </c>
      <c r="BM141" s="6" t="s">
        <v>292</v>
      </c>
    </row>
    <row r="142" spans="2:65" s="2" customFormat="1" ht="16.5" customHeight="1">
      <c r="B142" s="3"/>
      <c r="C142" s="20" t="s">
        <v>332</v>
      </c>
      <c r="D142" s="20" t="s">
        <v>4</v>
      </c>
      <c r="E142" s="19" t="s">
        <v>331</v>
      </c>
      <c r="F142" s="14" t="s">
        <v>119</v>
      </c>
      <c r="G142" s="18" t="s">
        <v>30</v>
      </c>
      <c r="H142" s="17">
        <v>6</v>
      </c>
      <c r="I142" s="16"/>
      <c r="J142" s="15">
        <f t="shared" si="0"/>
        <v>0</v>
      </c>
      <c r="K142" s="14" t="s">
        <v>7</v>
      </c>
      <c r="L142" s="3"/>
      <c r="M142" s="24" t="s">
        <v>6</v>
      </c>
      <c r="N142" s="23" t="s">
        <v>5</v>
      </c>
      <c r="P142" s="22">
        <f t="shared" si="1"/>
        <v>0</v>
      </c>
      <c r="Q142" s="22">
        <v>0</v>
      </c>
      <c r="R142" s="22">
        <f t="shared" si="2"/>
        <v>0</v>
      </c>
      <c r="S142" s="22">
        <v>0</v>
      </c>
      <c r="T142" s="21">
        <f t="shared" si="3"/>
        <v>0</v>
      </c>
      <c r="AR142" s="6" t="s">
        <v>1</v>
      </c>
      <c r="AT142" s="6" t="s">
        <v>4</v>
      </c>
      <c r="AU142" s="6" t="s">
        <v>2</v>
      </c>
      <c r="AY142" s="7" t="s">
        <v>3</v>
      </c>
      <c r="BE142" s="8">
        <f t="shared" si="4"/>
        <v>0</v>
      </c>
      <c r="BF142" s="8">
        <f t="shared" si="5"/>
        <v>0</v>
      </c>
      <c r="BG142" s="8">
        <f t="shared" si="6"/>
        <v>0</v>
      </c>
      <c r="BH142" s="8">
        <f t="shared" si="7"/>
        <v>0</v>
      </c>
      <c r="BI142" s="8">
        <f t="shared" si="8"/>
        <v>0</v>
      </c>
      <c r="BJ142" s="7" t="s">
        <v>2</v>
      </c>
      <c r="BK142" s="8">
        <f t="shared" si="9"/>
        <v>0</v>
      </c>
      <c r="BL142" s="7" t="s">
        <v>1</v>
      </c>
      <c r="BM142" s="6" t="s">
        <v>288</v>
      </c>
    </row>
    <row r="143" spans="2:65" s="25" customFormat="1" ht="25.9" customHeight="1">
      <c r="B143" s="32"/>
      <c r="D143" s="27" t="s">
        <v>26</v>
      </c>
      <c r="E143" s="35" t="s">
        <v>330</v>
      </c>
      <c r="F143" s="35" t="s">
        <v>329</v>
      </c>
      <c r="I143" s="34"/>
      <c r="J143" s="33">
        <f>BK143</f>
        <v>0</v>
      </c>
      <c r="L143" s="32"/>
      <c r="M143" s="31"/>
      <c r="P143" s="30">
        <f>P144</f>
        <v>0</v>
      </c>
      <c r="R143" s="30">
        <f>R144</f>
        <v>0</v>
      </c>
      <c r="T143" s="29">
        <f>T144</f>
        <v>0</v>
      </c>
      <c r="AR143" s="27" t="s">
        <v>2</v>
      </c>
      <c r="AT143" s="28" t="s">
        <v>26</v>
      </c>
      <c r="AU143" s="28" t="s">
        <v>25</v>
      </c>
      <c r="AY143" s="27" t="s">
        <v>3</v>
      </c>
      <c r="BK143" s="26">
        <f>BK144</f>
        <v>0</v>
      </c>
    </row>
    <row r="144" spans="2:65" s="2" customFormat="1" ht="24.2" customHeight="1">
      <c r="B144" s="3"/>
      <c r="C144" s="20" t="s">
        <v>328</v>
      </c>
      <c r="D144" s="20" t="s">
        <v>4</v>
      </c>
      <c r="E144" s="19" t="s">
        <v>327</v>
      </c>
      <c r="F144" s="14" t="s">
        <v>326</v>
      </c>
      <c r="G144" s="18" t="s">
        <v>8</v>
      </c>
      <c r="H144" s="17">
        <v>2</v>
      </c>
      <c r="I144" s="16"/>
      <c r="J144" s="15">
        <f>ROUND(I144*H144,2)</f>
        <v>0</v>
      </c>
      <c r="K144" s="14" t="s">
        <v>7</v>
      </c>
      <c r="L144" s="3"/>
      <c r="M144" s="24" t="s">
        <v>6</v>
      </c>
      <c r="N144" s="23" t="s">
        <v>5</v>
      </c>
      <c r="P144" s="22">
        <f>O144*H144</f>
        <v>0</v>
      </c>
      <c r="Q144" s="22">
        <v>0</v>
      </c>
      <c r="R144" s="22">
        <f>Q144*H144</f>
        <v>0</v>
      </c>
      <c r="S144" s="22">
        <v>0</v>
      </c>
      <c r="T144" s="21">
        <f>S144*H144</f>
        <v>0</v>
      </c>
      <c r="AR144" s="6" t="s">
        <v>1</v>
      </c>
      <c r="AT144" s="6" t="s">
        <v>4</v>
      </c>
      <c r="AU144" s="6" t="s">
        <v>2</v>
      </c>
      <c r="AY144" s="7" t="s">
        <v>3</v>
      </c>
      <c r="BE144" s="8">
        <f>IF(N144="základní",J144,0)</f>
        <v>0</v>
      </c>
      <c r="BF144" s="8">
        <f>IF(N144="snížená",J144,0)</f>
        <v>0</v>
      </c>
      <c r="BG144" s="8">
        <f>IF(N144="zákl. přenesená",J144,0)</f>
        <v>0</v>
      </c>
      <c r="BH144" s="8">
        <f>IF(N144="sníž. přenesená",J144,0)</f>
        <v>0</v>
      </c>
      <c r="BI144" s="8">
        <f>IF(N144="nulová",J144,0)</f>
        <v>0</v>
      </c>
      <c r="BJ144" s="7" t="s">
        <v>2</v>
      </c>
      <c r="BK144" s="8">
        <f>ROUND(I144*H144,2)</f>
        <v>0</v>
      </c>
      <c r="BL144" s="7" t="s">
        <v>1</v>
      </c>
      <c r="BM144" s="6" t="s">
        <v>283</v>
      </c>
    </row>
    <row r="145" spans="2:65" s="25" customFormat="1" ht="25.9" customHeight="1">
      <c r="B145" s="32"/>
      <c r="D145" s="27" t="s">
        <v>26</v>
      </c>
      <c r="E145" s="35" t="s">
        <v>325</v>
      </c>
      <c r="F145" s="35" t="s">
        <v>324</v>
      </c>
      <c r="I145" s="34"/>
      <c r="J145" s="33">
        <f>BK145</f>
        <v>0</v>
      </c>
      <c r="L145" s="32"/>
      <c r="M145" s="31"/>
      <c r="P145" s="30">
        <f>SUM(P146:P152)</f>
        <v>0</v>
      </c>
      <c r="R145" s="30">
        <f>SUM(R146:R152)</f>
        <v>0</v>
      </c>
      <c r="T145" s="29">
        <f>SUM(T146:T152)</f>
        <v>0</v>
      </c>
      <c r="AR145" s="27" t="s">
        <v>2</v>
      </c>
      <c r="AT145" s="28" t="s">
        <v>26</v>
      </c>
      <c r="AU145" s="28" t="s">
        <v>25</v>
      </c>
      <c r="AY145" s="27" t="s">
        <v>3</v>
      </c>
      <c r="BK145" s="26">
        <f>SUM(BK146:BK152)</f>
        <v>0</v>
      </c>
    </row>
    <row r="146" spans="2:65" s="2" customFormat="1" ht="16.5" customHeight="1">
      <c r="B146" s="3"/>
      <c r="C146" s="20" t="s">
        <v>323</v>
      </c>
      <c r="D146" s="20" t="s">
        <v>4</v>
      </c>
      <c r="E146" s="19" t="s">
        <v>322</v>
      </c>
      <c r="F146" s="14" t="s">
        <v>321</v>
      </c>
      <c r="G146" s="18" t="s">
        <v>8</v>
      </c>
      <c r="H146" s="17">
        <v>1</v>
      </c>
      <c r="I146" s="16"/>
      <c r="J146" s="15">
        <f t="shared" ref="J146:J152" si="10">ROUND(I146*H146,2)</f>
        <v>0</v>
      </c>
      <c r="K146" s="14" t="s">
        <v>7</v>
      </c>
      <c r="L146" s="3"/>
      <c r="M146" s="24" t="s">
        <v>6</v>
      </c>
      <c r="N146" s="23" t="s">
        <v>5</v>
      </c>
      <c r="P146" s="22">
        <f t="shared" ref="P146:P152" si="11">O146*H146</f>
        <v>0</v>
      </c>
      <c r="Q146" s="22">
        <v>0</v>
      </c>
      <c r="R146" s="22">
        <f t="shared" ref="R146:R152" si="12">Q146*H146</f>
        <v>0</v>
      </c>
      <c r="S146" s="22">
        <v>0</v>
      </c>
      <c r="T146" s="21">
        <f t="shared" ref="T146:T152" si="13">S146*H146</f>
        <v>0</v>
      </c>
      <c r="AR146" s="6" t="s">
        <v>1</v>
      </c>
      <c r="AT146" s="6" t="s">
        <v>4</v>
      </c>
      <c r="AU146" s="6" t="s">
        <v>2</v>
      </c>
      <c r="AY146" s="7" t="s">
        <v>3</v>
      </c>
      <c r="BE146" s="8">
        <f t="shared" ref="BE146:BE152" si="14">IF(N146="základní",J146,0)</f>
        <v>0</v>
      </c>
      <c r="BF146" s="8">
        <f t="shared" ref="BF146:BF152" si="15">IF(N146="snížená",J146,0)</f>
        <v>0</v>
      </c>
      <c r="BG146" s="8">
        <f t="shared" ref="BG146:BG152" si="16">IF(N146="zákl. přenesená",J146,0)</f>
        <v>0</v>
      </c>
      <c r="BH146" s="8">
        <f t="shared" ref="BH146:BH152" si="17">IF(N146="sníž. přenesená",J146,0)</f>
        <v>0</v>
      </c>
      <c r="BI146" s="8">
        <f t="shared" ref="BI146:BI152" si="18">IF(N146="nulová",J146,0)</f>
        <v>0</v>
      </c>
      <c r="BJ146" s="7" t="s">
        <v>2</v>
      </c>
      <c r="BK146" s="8">
        <f t="shared" ref="BK146:BK152" si="19">ROUND(I146*H146,2)</f>
        <v>0</v>
      </c>
      <c r="BL146" s="7" t="s">
        <v>1</v>
      </c>
      <c r="BM146" s="6" t="s">
        <v>279</v>
      </c>
    </row>
    <row r="147" spans="2:65" s="2" customFormat="1" ht="16.5" customHeight="1">
      <c r="B147" s="3"/>
      <c r="C147" s="20" t="s">
        <v>320</v>
      </c>
      <c r="D147" s="20" t="s">
        <v>4</v>
      </c>
      <c r="E147" s="19" t="s">
        <v>319</v>
      </c>
      <c r="F147" s="14" t="s">
        <v>318</v>
      </c>
      <c r="G147" s="18" t="s">
        <v>8</v>
      </c>
      <c r="H147" s="17">
        <v>3</v>
      </c>
      <c r="I147" s="16"/>
      <c r="J147" s="15">
        <f t="shared" si="10"/>
        <v>0</v>
      </c>
      <c r="K147" s="14" t="s">
        <v>7</v>
      </c>
      <c r="L147" s="3"/>
      <c r="M147" s="24" t="s">
        <v>6</v>
      </c>
      <c r="N147" s="23" t="s">
        <v>5</v>
      </c>
      <c r="P147" s="22">
        <f t="shared" si="11"/>
        <v>0</v>
      </c>
      <c r="Q147" s="22">
        <v>0</v>
      </c>
      <c r="R147" s="22">
        <f t="shared" si="12"/>
        <v>0</v>
      </c>
      <c r="S147" s="22">
        <v>0</v>
      </c>
      <c r="T147" s="21">
        <f t="shared" si="13"/>
        <v>0</v>
      </c>
      <c r="AR147" s="6" t="s">
        <v>1</v>
      </c>
      <c r="AT147" s="6" t="s">
        <v>4</v>
      </c>
      <c r="AU147" s="6" t="s">
        <v>2</v>
      </c>
      <c r="AY147" s="7" t="s">
        <v>3</v>
      </c>
      <c r="BE147" s="8">
        <f t="shared" si="14"/>
        <v>0</v>
      </c>
      <c r="BF147" s="8">
        <f t="shared" si="15"/>
        <v>0</v>
      </c>
      <c r="BG147" s="8">
        <f t="shared" si="16"/>
        <v>0</v>
      </c>
      <c r="BH147" s="8">
        <f t="shared" si="17"/>
        <v>0</v>
      </c>
      <c r="BI147" s="8">
        <f t="shared" si="18"/>
        <v>0</v>
      </c>
      <c r="BJ147" s="7" t="s">
        <v>2</v>
      </c>
      <c r="BK147" s="8">
        <f t="shared" si="19"/>
        <v>0</v>
      </c>
      <c r="BL147" s="7" t="s">
        <v>1</v>
      </c>
      <c r="BM147" s="6" t="s">
        <v>275</v>
      </c>
    </row>
    <row r="148" spans="2:65" s="2" customFormat="1" ht="16.5" customHeight="1">
      <c r="B148" s="3"/>
      <c r="C148" s="20" t="s">
        <v>317</v>
      </c>
      <c r="D148" s="20" t="s">
        <v>4</v>
      </c>
      <c r="E148" s="19" t="s">
        <v>316</v>
      </c>
      <c r="F148" s="14" t="s">
        <v>315</v>
      </c>
      <c r="G148" s="18" t="s">
        <v>21</v>
      </c>
      <c r="H148" s="17">
        <v>105</v>
      </c>
      <c r="I148" s="16"/>
      <c r="J148" s="15">
        <f t="shared" si="10"/>
        <v>0</v>
      </c>
      <c r="K148" s="14" t="s">
        <v>7</v>
      </c>
      <c r="L148" s="3"/>
      <c r="M148" s="24" t="s">
        <v>6</v>
      </c>
      <c r="N148" s="23" t="s">
        <v>5</v>
      </c>
      <c r="P148" s="22">
        <f t="shared" si="11"/>
        <v>0</v>
      </c>
      <c r="Q148" s="22">
        <v>0</v>
      </c>
      <c r="R148" s="22">
        <f t="shared" si="12"/>
        <v>0</v>
      </c>
      <c r="S148" s="22">
        <v>0</v>
      </c>
      <c r="T148" s="21">
        <f t="shared" si="13"/>
        <v>0</v>
      </c>
      <c r="AR148" s="6" t="s">
        <v>1</v>
      </c>
      <c r="AT148" s="6" t="s">
        <v>4</v>
      </c>
      <c r="AU148" s="6" t="s">
        <v>2</v>
      </c>
      <c r="AY148" s="7" t="s">
        <v>3</v>
      </c>
      <c r="BE148" s="8">
        <f t="shared" si="14"/>
        <v>0</v>
      </c>
      <c r="BF148" s="8">
        <f t="shared" si="15"/>
        <v>0</v>
      </c>
      <c r="BG148" s="8">
        <f t="shared" si="16"/>
        <v>0</v>
      </c>
      <c r="BH148" s="8">
        <f t="shared" si="17"/>
        <v>0</v>
      </c>
      <c r="BI148" s="8">
        <f t="shared" si="18"/>
        <v>0</v>
      </c>
      <c r="BJ148" s="7" t="s">
        <v>2</v>
      </c>
      <c r="BK148" s="8">
        <f t="shared" si="19"/>
        <v>0</v>
      </c>
      <c r="BL148" s="7" t="s">
        <v>1</v>
      </c>
      <c r="BM148" s="6" t="s">
        <v>270</v>
      </c>
    </row>
    <row r="149" spans="2:65" s="2" customFormat="1" ht="16.5" customHeight="1">
      <c r="B149" s="3"/>
      <c r="C149" s="20" t="s">
        <v>314</v>
      </c>
      <c r="D149" s="20" t="s">
        <v>4</v>
      </c>
      <c r="E149" s="19" t="s">
        <v>313</v>
      </c>
      <c r="F149" s="14" t="s">
        <v>312</v>
      </c>
      <c r="G149" s="18" t="s">
        <v>8</v>
      </c>
      <c r="H149" s="17">
        <v>1</v>
      </c>
      <c r="I149" s="16"/>
      <c r="J149" s="15">
        <f t="shared" si="10"/>
        <v>0</v>
      </c>
      <c r="K149" s="14" t="s">
        <v>7</v>
      </c>
      <c r="L149" s="3"/>
      <c r="M149" s="24" t="s">
        <v>6</v>
      </c>
      <c r="N149" s="23" t="s">
        <v>5</v>
      </c>
      <c r="P149" s="22">
        <f t="shared" si="11"/>
        <v>0</v>
      </c>
      <c r="Q149" s="22">
        <v>0</v>
      </c>
      <c r="R149" s="22">
        <f t="shared" si="12"/>
        <v>0</v>
      </c>
      <c r="S149" s="22">
        <v>0</v>
      </c>
      <c r="T149" s="21">
        <f t="shared" si="13"/>
        <v>0</v>
      </c>
      <c r="AR149" s="6" t="s">
        <v>1</v>
      </c>
      <c r="AT149" s="6" t="s">
        <v>4</v>
      </c>
      <c r="AU149" s="6" t="s">
        <v>2</v>
      </c>
      <c r="AY149" s="7" t="s">
        <v>3</v>
      </c>
      <c r="BE149" s="8">
        <f t="shared" si="14"/>
        <v>0</v>
      </c>
      <c r="BF149" s="8">
        <f t="shared" si="15"/>
        <v>0</v>
      </c>
      <c r="BG149" s="8">
        <f t="shared" si="16"/>
        <v>0</v>
      </c>
      <c r="BH149" s="8">
        <f t="shared" si="17"/>
        <v>0</v>
      </c>
      <c r="BI149" s="8">
        <f t="shared" si="18"/>
        <v>0</v>
      </c>
      <c r="BJ149" s="7" t="s">
        <v>2</v>
      </c>
      <c r="BK149" s="8">
        <f t="shared" si="19"/>
        <v>0</v>
      </c>
      <c r="BL149" s="7" t="s">
        <v>1</v>
      </c>
      <c r="BM149" s="6" t="s">
        <v>263</v>
      </c>
    </row>
    <row r="150" spans="2:65" s="2" customFormat="1" ht="24.2" customHeight="1">
      <c r="B150" s="3"/>
      <c r="C150" s="20" t="s">
        <v>311</v>
      </c>
      <c r="D150" s="20" t="s">
        <v>4</v>
      </c>
      <c r="E150" s="19" t="s">
        <v>310</v>
      </c>
      <c r="F150" s="14" t="s">
        <v>309</v>
      </c>
      <c r="G150" s="18" t="s">
        <v>21</v>
      </c>
      <c r="H150" s="17">
        <v>65</v>
      </c>
      <c r="I150" s="16"/>
      <c r="J150" s="15">
        <f t="shared" si="10"/>
        <v>0</v>
      </c>
      <c r="K150" s="14" t="s">
        <v>7</v>
      </c>
      <c r="L150" s="3"/>
      <c r="M150" s="24" t="s">
        <v>6</v>
      </c>
      <c r="N150" s="23" t="s">
        <v>5</v>
      </c>
      <c r="P150" s="22">
        <f t="shared" si="11"/>
        <v>0</v>
      </c>
      <c r="Q150" s="22">
        <v>0</v>
      </c>
      <c r="R150" s="22">
        <f t="shared" si="12"/>
        <v>0</v>
      </c>
      <c r="S150" s="22">
        <v>0</v>
      </c>
      <c r="T150" s="21">
        <f t="shared" si="13"/>
        <v>0</v>
      </c>
      <c r="AR150" s="6" t="s">
        <v>1</v>
      </c>
      <c r="AT150" s="6" t="s">
        <v>4</v>
      </c>
      <c r="AU150" s="6" t="s">
        <v>2</v>
      </c>
      <c r="AY150" s="7" t="s">
        <v>3</v>
      </c>
      <c r="BE150" s="8">
        <f t="shared" si="14"/>
        <v>0</v>
      </c>
      <c r="BF150" s="8">
        <f t="shared" si="15"/>
        <v>0</v>
      </c>
      <c r="BG150" s="8">
        <f t="shared" si="16"/>
        <v>0</v>
      </c>
      <c r="BH150" s="8">
        <f t="shared" si="17"/>
        <v>0</v>
      </c>
      <c r="BI150" s="8">
        <f t="shared" si="18"/>
        <v>0</v>
      </c>
      <c r="BJ150" s="7" t="s">
        <v>2</v>
      </c>
      <c r="BK150" s="8">
        <f t="shared" si="19"/>
        <v>0</v>
      </c>
      <c r="BL150" s="7" t="s">
        <v>1</v>
      </c>
      <c r="BM150" s="6" t="s">
        <v>257</v>
      </c>
    </row>
    <row r="151" spans="2:65" s="2" customFormat="1" ht="16.5" customHeight="1">
      <c r="B151" s="3"/>
      <c r="C151" s="20" t="s">
        <v>308</v>
      </c>
      <c r="D151" s="20" t="s">
        <v>4</v>
      </c>
      <c r="E151" s="19" t="s">
        <v>307</v>
      </c>
      <c r="F151" s="14" t="s">
        <v>306</v>
      </c>
      <c r="G151" s="18" t="s">
        <v>21</v>
      </c>
      <c r="H151" s="17">
        <v>105</v>
      </c>
      <c r="I151" s="16"/>
      <c r="J151" s="15">
        <f t="shared" si="10"/>
        <v>0</v>
      </c>
      <c r="K151" s="14" t="s">
        <v>7</v>
      </c>
      <c r="L151" s="3"/>
      <c r="M151" s="24" t="s">
        <v>6</v>
      </c>
      <c r="N151" s="23" t="s">
        <v>5</v>
      </c>
      <c r="P151" s="22">
        <f t="shared" si="11"/>
        <v>0</v>
      </c>
      <c r="Q151" s="22">
        <v>0</v>
      </c>
      <c r="R151" s="22">
        <f t="shared" si="12"/>
        <v>0</v>
      </c>
      <c r="S151" s="22">
        <v>0</v>
      </c>
      <c r="T151" s="21">
        <f t="shared" si="13"/>
        <v>0</v>
      </c>
      <c r="AR151" s="6" t="s">
        <v>1</v>
      </c>
      <c r="AT151" s="6" t="s">
        <v>4</v>
      </c>
      <c r="AU151" s="6" t="s">
        <v>2</v>
      </c>
      <c r="AY151" s="7" t="s">
        <v>3</v>
      </c>
      <c r="BE151" s="8">
        <f t="shared" si="14"/>
        <v>0</v>
      </c>
      <c r="BF151" s="8">
        <f t="shared" si="15"/>
        <v>0</v>
      </c>
      <c r="BG151" s="8">
        <f t="shared" si="16"/>
        <v>0</v>
      </c>
      <c r="BH151" s="8">
        <f t="shared" si="17"/>
        <v>0</v>
      </c>
      <c r="BI151" s="8">
        <f t="shared" si="18"/>
        <v>0</v>
      </c>
      <c r="BJ151" s="7" t="s">
        <v>2</v>
      </c>
      <c r="BK151" s="8">
        <f t="shared" si="19"/>
        <v>0</v>
      </c>
      <c r="BL151" s="7" t="s">
        <v>1</v>
      </c>
      <c r="BM151" s="6" t="s">
        <v>251</v>
      </c>
    </row>
    <row r="152" spans="2:65" s="2" customFormat="1" ht="16.5" customHeight="1">
      <c r="B152" s="3"/>
      <c r="C152" s="20" t="s">
        <v>305</v>
      </c>
      <c r="D152" s="20" t="s">
        <v>4</v>
      </c>
      <c r="E152" s="19" t="s">
        <v>304</v>
      </c>
      <c r="F152" s="14" t="s">
        <v>303</v>
      </c>
      <c r="G152" s="18" t="s">
        <v>8</v>
      </c>
      <c r="H152" s="17">
        <v>2</v>
      </c>
      <c r="I152" s="16"/>
      <c r="J152" s="15">
        <f t="shared" si="10"/>
        <v>0</v>
      </c>
      <c r="K152" s="14" t="s">
        <v>7</v>
      </c>
      <c r="L152" s="3"/>
      <c r="M152" s="24" t="s">
        <v>6</v>
      </c>
      <c r="N152" s="23" t="s">
        <v>5</v>
      </c>
      <c r="P152" s="22">
        <f t="shared" si="11"/>
        <v>0</v>
      </c>
      <c r="Q152" s="22">
        <v>0</v>
      </c>
      <c r="R152" s="22">
        <f t="shared" si="12"/>
        <v>0</v>
      </c>
      <c r="S152" s="22">
        <v>0</v>
      </c>
      <c r="T152" s="21">
        <f t="shared" si="13"/>
        <v>0</v>
      </c>
      <c r="AR152" s="6" t="s">
        <v>1</v>
      </c>
      <c r="AT152" s="6" t="s">
        <v>4</v>
      </c>
      <c r="AU152" s="6" t="s">
        <v>2</v>
      </c>
      <c r="AY152" s="7" t="s">
        <v>3</v>
      </c>
      <c r="BE152" s="8">
        <f t="shared" si="14"/>
        <v>0</v>
      </c>
      <c r="BF152" s="8">
        <f t="shared" si="15"/>
        <v>0</v>
      </c>
      <c r="BG152" s="8">
        <f t="shared" si="16"/>
        <v>0</v>
      </c>
      <c r="BH152" s="8">
        <f t="shared" si="17"/>
        <v>0</v>
      </c>
      <c r="BI152" s="8">
        <f t="shared" si="18"/>
        <v>0</v>
      </c>
      <c r="BJ152" s="7" t="s">
        <v>2</v>
      </c>
      <c r="BK152" s="8">
        <f t="shared" si="19"/>
        <v>0</v>
      </c>
      <c r="BL152" s="7" t="s">
        <v>1</v>
      </c>
      <c r="BM152" s="6" t="s">
        <v>245</v>
      </c>
    </row>
    <row r="153" spans="2:65" s="25" customFormat="1" ht="25.9" customHeight="1">
      <c r="B153" s="32"/>
      <c r="D153" s="27" t="s">
        <v>26</v>
      </c>
      <c r="E153" s="35" t="s">
        <v>302</v>
      </c>
      <c r="F153" s="35" t="s">
        <v>301</v>
      </c>
      <c r="I153" s="34"/>
      <c r="J153" s="33">
        <f>BK153</f>
        <v>0</v>
      </c>
      <c r="L153" s="32"/>
      <c r="M153" s="31"/>
      <c r="P153" s="30">
        <f>SUM(P154:P168)</f>
        <v>0</v>
      </c>
      <c r="R153" s="30">
        <f>SUM(R154:R168)</f>
        <v>0</v>
      </c>
      <c r="T153" s="29">
        <f>SUM(T154:T168)</f>
        <v>0</v>
      </c>
      <c r="AR153" s="27" t="s">
        <v>2</v>
      </c>
      <c r="AT153" s="28" t="s">
        <v>26</v>
      </c>
      <c r="AU153" s="28" t="s">
        <v>25</v>
      </c>
      <c r="AY153" s="27" t="s">
        <v>3</v>
      </c>
      <c r="BK153" s="26">
        <f>SUM(BK154:BK168)</f>
        <v>0</v>
      </c>
    </row>
    <row r="154" spans="2:65" s="2" customFormat="1" ht="33" customHeight="1">
      <c r="B154" s="3"/>
      <c r="C154" s="20" t="s">
        <v>300</v>
      </c>
      <c r="D154" s="20" t="s">
        <v>4</v>
      </c>
      <c r="E154" s="19" t="s">
        <v>299</v>
      </c>
      <c r="F154" s="14" t="s">
        <v>264</v>
      </c>
      <c r="G154" s="18" t="s">
        <v>8</v>
      </c>
      <c r="H154" s="17">
        <v>1</v>
      </c>
      <c r="I154" s="16"/>
      <c r="J154" s="15">
        <f t="shared" ref="J154:J168" si="20">ROUND(I154*H154,2)</f>
        <v>0</v>
      </c>
      <c r="K154" s="14" t="s">
        <v>7</v>
      </c>
      <c r="L154" s="3"/>
      <c r="M154" s="24" t="s">
        <v>6</v>
      </c>
      <c r="N154" s="23" t="s">
        <v>5</v>
      </c>
      <c r="P154" s="22">
        <f t="shared" ref="P154:P168" si="21">O154*H154</f>
        <v>0</v>
      </c>
      <c r="Q154" s="22">
        <v>0</v>
      </c>
      <c r="R154" s="22">
        <f t="shared" ref="R154:R168" si="22">Q154*H154</f>
        <v>0</v>
      </c>
      <c r="S154" s="22">
        <v>0</v>
      </c>
      <c r="T154" s="21">
        <f t="shared" ref="T154:T168" si="23">S154*H154</f>
        <v>0</v>
      </c>
      <c r="AR154" s="6" t="s">
        <v>1</v>
      </c>
      <c r="AT154" s="6" t="s">
        <v>4</v>
      </c>
      <c r="AU154" s="6" t="s">
        <v>2</v>
      </c>
      <c r="AY154" s="7" t="s">
        <v>3</v>
      </c>
      <c r="BE154" s="8">
        <f t="shared" ref="BE154:BE168" si="24">IF(N154="základní",J154,0)</f>
        <v>0</v>
      </c>
      <c r="BF154" s="8">
        <f t="shared" ref="BF154:BF168" si="25">IF(N154="snížená",J154,0)</f>
        <v>0</v>
      </c>
      <c r="BG154" s="8">
        <f t="shared" ref="BG154:BG168" si="26">IF(N154="zákl. přenesená",J154,0)</f>
        <v>0</v>
      </c>
      <c r="BH154" s="8">
        <f t="shared" ref="BH154:BH168" si="27">IF(N154="sníž. přenesená",J154,0)</f>
        <v>0</v>
      </c>
      <c r="BI154" s="8">
        <f t="shared" ref="BI154:BI168" si="28">IF(N154="nulová",J154,0)</f>
        <v>0</v>
      </c>
      <c r="BJ154" s="7" t="s">
        <v>2</v>
      </c>
      <c r="BK154" s="8">
        <f t="shared" ref="BK154:BK168" si="29">ROUND(I154*H154,2)</f>
        <v>0</v>
      </c>
      <c r="BL154" s="7" t="s">
        <v>1</v>
      </c>
      <c r="BM154" s="6" t="s">
        <v>239</v>
      </c>
    </row>
    <row r="155" spans="2:65" s="2" customFormat="1" ht="16.5" customHeight="1">
      <c r="B155" s="3"/>
      <c r="C155" s="20" t="s">
        <v>298</v>
      </c>
      <c r="D155" s="20" t="s">
        <v>4</v>
      </c>
      <c r="E155" s="19" t="s">
        <v>297</v>
      </c>
      <c r="F155" s="14" t="s">
        <v>261</v>
      </c>
      <c r="G155" s="18" t="s">
        <v>8</v>
      </c>
      <c r="H155" s="17">
        <v>1</v>
      </c>
      <c r="I155" s="16"/>
      <c r="J155" s="15">
        <f t="shared" si="20"/>
        <v>0</v>
      </c>
      <c r="K155" s="14" t="s">
        <v>7</v>
      </c>
      <c r="L155" s="3"/>
      <c r="M155" s="24" t="s">
        <v>6</v>
      </c>
      <c r="N155" s="23" t="s">
        <v>5</v>
      </c>
      <c r="P155" s="22">
        <f t="shared" si="21"/>
        <v>0</v>
      </c>
      <c r="Q155" s="22">
        <v>0</v>
      </c>
      <c r="R155" s="22">
        <f t="shared" si="22"/>
        <v>0</v>
      </c>
      <c r="S155" s="22">
        <v>0</v>
      </c>
      <c r="T155" s="21">
        <f t="shared" si="23"/>
        <v>0</v>
      </c>
      <c r="AR155" s="6" t="s">
        <v>1</v>
      </c>
      <c r="AT155" s="6" t="s">
        <v>4</v>
      </c>
      <c r="AU155" s="6" t="s">
        <v>2</v>
      </c>
      <c r="AY155" s="7" t="s">
        <v>3</v>
      </c>
      <c r="BE155" s="8">
        <f t="shared" si="24"/>
        <v>0</v>
      </c>
      <c r="BF155" s="8">
        <f t="shared" si="25"/>
        <v>0</v>
      </c>
      <c r="BG155" s="8">
        <f t="shared" si="26"/>
        <v>0</v>
      </c>
      <c r="BH155" s="8">
        <f t="shared" si="27"/>
        <v>0</v>
      </c>
      <c r="BI155" s="8">
        <f t="shared" si="28"/>
        <v>0</v>
      </c>
      <c r="BJ155" s="7" t="s">
        <v>2</v>
      </c>
      <c r="BK155" s="8">
        <f t="shared" si="29"/>
        <v>0</v>
      </c>
      <c r="BL155" s="7" t="s">
        <v>1</v>
      </c>
      <c r="BM155" s="6" t="s">
        <v>233</v>
      </c>
    </row>
    <row r="156" spans="2:65" s="2" customFormat="1" ht="16.5" customHeight="1">
      <c r="B156" s="3"/>
      <c r="C156" s="20" t="s">
        <v>296</v>
      </c>
      <c r="D156" s="20" t="s">
        <v>4</v>
      </c>
      <c r="E156" s="19" t="s">
        <v>295</v>
      </c>
      <c r="F156" s="14" t="s">
        <v>258</v>
      </c>
      <c r="G156" s="18" t="s">
        <v>8</v>
      </c>
      <c r="H156" s="17">
        <v>3</v>
      </c>
      <c r="I156" s="16"/>
      <c r="J156" s="15">
        <f t="shared" si="20"/>
        <v>0</v>
      </c>
      <c r="K156" s="14" t="s">
        <v>7</v>
      </c>
      <c r="L156" s="3"/>
      <c r="M156" s="24" t="s">
        <v>6</v>
      </c>
      <c r="N156" s="23" t="s">
        <v>5</v>
      </c>
      <c r="P156" s="22">
        <f t="shared" si="21"/>
        <v>0</v>
      </c>
      <c r="Q156" s="22">
        <v>0</v>
      </c>
      <c r="R156" s="22">
        <f t="shared" si="22"/>
        <v>0</v>
      </c>
      <c r="S156" s="22">
        <v>0</v>
      </c>
      <c r="T156" s="21">
        <f t="shared" si="23"/>
        <v>0</v>
      </c>
      <c r="AR156" s="6" t="s">
        <v>1</v>
      </c>
      <c r="AT156" s="6" t="s">
        <v>4</v>
      </c>
      <c r="AU156" s="6" t="s">
        <v>2</v>
      </c>
      <c r="AY156" s="7" t="s">
        <v>3</v>
      </c>
      <c r="BE156" s="8">
        <f t="shared" si="24"/>
        <v>0</v>
      </c>
      <c r="BF156" s="8">
        <f t="shared" si="25"/>
        <v>0</v>
      </c>
      <c r="BG156" s="8">
        <f t="shared" si="26"/>
        <v>0</v>
      </c>
      <c r="BH156" s="8">
        <f t="shared" si="27"/>
        <v>0</v>
      </c>
      <c r="BI156" s="8">
        <f t="shared" si="28"/>
        <v>0</v>
      </c>
      <c r="BJ156" s="7" t="s">
        <v>2</v>
      </c>
      <c r="BK156" s="8">
        <f t="shared" si="29"/>
        <v>0</v>
      </c>
      <c r="BL156" s="7" t="s">
        <v>1</v>
      </c>
      <c r="BM156" s="6" t="s">
        <v>225</v>
      </c>
    </row>
    <row r="157" spans="2:65" s="2" customFormat="1" ht="16.5" customHeight="1">
      <c r="B157" s="3"/>
      <c r="C157" s="20" t="s">
        <v>294</v>
      </c>
      <c r="D157" s="20" t="s">
        <v>4</v>
      </c>
      <c r="E157" s="19" t="s">
        <v>293</v>
      </c>
      <c r="F157" s="14" t="s">
        <v>255</v>
      </c>
      <c r="G157" s="18" t="s">
        <v>8</v>
      </c>
      <c r="H157" s="17">
        <v>3</v>
      </c>
      <c r="I157" s="16"/>
      <c r="J157" s="15">
        <f t="shared" si="20"/>
        <v>0</v>
      </c>
      <c r="K157" s="14" t="s">
        <v>7</v>
      </c>
      <c r="L157" s="3"/>
      <c r="M157" s="24" t="s">
        <v>6</v>
      </c>
      <c r="N157" s="23" t="s">
        <v>5</v>
      </c>
      <c r="P157" s="22">
        <f t="shared" si="21"/>
        <v>0</v>
      </c>
      <c r="Q157" s="22">
        <v>0</v>
      </c>
      <c r="R157" s="22">
        <f t="shared" si="22"/>
        <v>0</v>
      </c>
      <c r="S157" s="22">
        <v>0</v>
      </c>
      <c r="T157" s="21">
        <f t="shared" si="23"/>
        <v>0</v>
      </c>
      <c r="AR157" s="6" t="s">
        <v>1</v>
      </c>
      <c r="AT157" s="6" t="s">
        <v>4</v>
      </c>
      <c r="AU157" s="6" t="s">
        <v>2</v>
      </c>
      <c r="AY157" s="7" t="s">
        <v>3</v>
      </c>
      <c r="BE157" s="8">
        <f t="shared" si="24"/>
        <v>0</v>
      </c>
      <c r="BF157" s="8">
        <f t="shared" si="25"/>
        <v>0</v>
      </c>
      <c r="BG157" s="8">
        <f t="shared" si="26"/>
        <v>0</v>
      </c>
      <c r="BH157" s="8">
        <f t="shared" si="27"/>
        <v>0</v>
      </c>
      <c r="BI157" s="8">
        <f t="shared" si="28"/>
        <v>0</v>
      </c>
      <c r="BJ157" s="7" t="s">
        <v>2</v>
      </c>
      <c r="BK157" s="8">
        <f t="shared" si="29"/>
        <v>0</v>
      </c>
      <c r="BL157" s="7" t="s">
        <v>1</v>
      </c>
      <c r="BM157" s="6" t="s">
        <v>218</v>
      </c>
    </row>
    <row r="158" spans="2:65" s="2" customFormat="1" ht="16.5" customHeight="1">
      <c r="B158" s="3"/>
      <c r="C158" s="20" t="s">
        <v>292</v>
      </c>
      <c r="D158" s="20" t="s">
        <v>4</v>
      </c>
      <c r="E158" s="19" t="s">
        <v>291</v>
      </c>
      <c r="F158" s="14" t="s">
        <v>252</v>
      </c>
      <c r="G158" s="18" t="s">
        <v>8</v>
      </c>
      <c r="H158" s="17">
        <v>4</v>
      </c>
      <c r="I158" s="16"/>
      <c r="J158" s="15">
        <f t="shared" si="20"/>
        <v>0</v>
      </c>
      <c r="K158" s="14" t="s">
        <v>7</v>
      </c>
      <c r="L158" s="3"/>
      <c r="M158" s="24" t="s">
        <v>6</v>
      </c>
      <c r="N158" s="23" t="s">
        <v>5</v>
      </c>
      <c r="P158" s="22">
        <f t="shared" si="21"/>
        <v>0</v>
      </c>
      <c r="Q158" s="22">
        <v>0</v>
      </c>
      <c r="R158" s="22">
        <f t="shared" si="22"/>
        <v>0</v>
      </c>
      <c r="S158" s="22">
        <v>0</v>
      </c>
      <c r="T158" s="21">
        <f t="shared" si="23"/>
        <v>0</v>
      </c>
      <c r="AR158" s="6" t="s">
        <v>1</v>
      </c>
      <c r="AT158" s="6" t="s">
        <v>4</v>
      </c>
      <c r="AU158" s="6" t="s">
        <v>2</v>
      </c>
      <c r="AY158" s="7" t="s">
        <v>3</v>
      </c>
      <c r="BE158" s="8">
        <f t="shared" si="24"/>
        <v>0</v>
      </c>
      <c r="BF158" s="8">
        <f t="shared" si="25"/>
        <v>0</v>
      </c>
      <c r="BG158" s="8">
        <f t="shared" si="26"/>
        <v>0</v>
      </c>
      <c r="BH158" s="8">
        <f t="shared" si="27"/>
        <v>0</v>
      </c>
      <c r="BI158" s="8">
        <f t="shared" si="28"/>
        <v>0</v>
      </c>
      <c r="BJ158" s="7" t="s">
        <v>2</v>
      </c>
      <c r="BK158" s="8">
        <f t="shared" si="29"/>
        <v>0</v>
      </c>
      <c r="BL158" s="7" t="s">
        <v>1</v>
      </c>
      <c r="BM158" s="6" t="s">
        <v>210</v>
      </c>
    </row>
    <row r="159" spans="2:65" s="2" customFormat="1" ht="21.75" customHeight="1">
      <c r="B159" s="3"/>
      <c r="C159" s="20" t="s">
        <v>290</v>
      </c>
      <c r="D159" s="20" t="s">
        <v>4</v>
      </c>
      <c r="E159" s="19" t="s">
        <v>289</v>
      </c>
      <c r="F159" s="14" t="s">
        <v>249</v>
      </c>
      <c r="G159" s="18" t="s">
        <v>8</v>
      </c>
      <c r="H159" s="17">
        <v>1</v>
      </c>
      <c r="I159" s="16"/>
      <c r="J159" s="15">
        <f t="shared" si="20"/>
        <v>0</v>
      </c>
      <c r="K159" s="14" t="s">
        <v>7</v>
      </c>
      <c r="L159" s="3"/>
      <c r="M159" s="24" t="s">
        <v>6</v>
      </c>
      <c r="N159" s="23" t="s">
        <v>5</v>
      </c>
      <c r="P159" s="22">
        <f t="shared" si="21"/>
        <v>0</v>
      </c>
      <c r="Q159" s="22">
        <v>0</v>
      </c>
      <c r="R159" s="22">
        <f t="shared" si="22"/>
        <v>0</v>
      </c>
      <c r="S159" s="22">
        <v>0</v>
      </c>
      <c r="T159" s="21">
        <f t="shared" si="23"/>
        <v>0</v>
      </c>
      <c r="AR159" s="6" t="s">
        <v>1</v>
      </c>
      <c r="AT159" s="6" t="s">
        <v>4</v>
      </c>
      <c r="AU159" s="6" t="s">
        <v>2</v>
      </c>
      <c r="AY159" s="7" t="s">
        <v>3</v>
      </c>
      <c r="BE159" s="8">
        <f t="shared" si="24"/>
        <v>0</v>
      </c>
      <c r="BF159" s="8">
        <f t="shared" si="25"/>
        <v>0</v>
      </c>
      <c r="BG159" s="8">
        <f t="shared" si="26"/>
        <v>0</v>
      </c>
      <c r="BH159" s="8">
        <f t="shared" si="27"/>
        <v>0</v>
      </c>
      <c r="BI159" s="8">
        <f t="shared" si="28"/>
        <v>0</v>
      </c>
      <c r="BJ159" s="7" t="s">
        <v>2</v>
      </c>
      <c r="BK159" s="8">
        <f t="shared" si="29"/>
        <v>0</v>
      </c>
      <c r="BL159" s="7" t="s">
        <v>1</v>
      </c>
      <c r="BM159" s="6" t="s">
        <v>203</v>
      </c>
    </row>
    <row r="160" spans="2:65" s="2" customFormat="1" ht="16.5" customHeight="1">
      <c r="B160" s="3"/>
      <c r="C160" s="20" t="s">
        <v>288</v>
      </c>
      <c r="D160" s="20" t="s">
        <v>4</v>
      </c>
      <c r="E160" s="19" t="s">
        <v>287</v>
      </c>
      <c r="F160" s="14" t="s">
        <v>246</v>
      </c>
      <c r="G160" s="18" t="s">
        <v>8</v>
      </c>
      <c r="H160" s="17">
        <v>3</v>
      </c>
      <c r="I160" s="16"/>
      <c r="J160" s="15">
        <f t="shared" si="20"/>
        <v>0</v>
      </c>
      <c r="K160" s="14" t="s">
        <v>7</v>
      </c>
      <c r="L160" s="3"/>
      <c r="M160" s="24" t="s">
        <v>6</v>
      </c>
      <c r="N160" s="23" t="s">
        <v>5</v>
      </c>
      <c r="P160" s="22">
        <f t="shared" si="21"/>
        <v>0</v>
      </c>
      <c r="Q160" s="22">
        <v>0</v>
      </c>
      <c r="R160" s="22">
        <f t="shared" si="22"/>
        <v>0</v>
      </c>
      <c r="S160" s="22">
        <v>0</v>
      </c>
      <c r="T160" s="21">
        <f t="shared" si="23"/>
        <v>0</v>
      </c>
      <c r="AR160" s="6" t="s">
        <v>1</v>
      </c>
      <c r="AT160" s="6" t="s">
        <v>4</v>
      </c>
      <c r="AU160" s="6" t="s">
        <v>2</v>
      </c>
      <c r="AY160" s="7" t="s">
        <v>3</v>
      </c>
      <c r="BE160" s="8">
        <f t="shared" si="24"/>
        <v>0</v>
      </c>
      <c r="BF160" s="8">
        <f t="shared" si="25"/>
        <v>0</v>
      </c>
      <c r="BG160" s="8">
        <f t="shared" si="26"/>
        <v>0</v>
      </c>
      <c r="BH160" s="8">
        <f t="shared" si="27"/>
        <v>0</v>
      </c>
      <c r="BI160" s="8">
        <f t="shared" si="28"/>
        <v>0</v>
      </c>
      <c r="BJ160" s="7" t="s">
        <v>2</v>
      </c>
      <c r="BK160" s="8">
        <f t="shared" si="29"/>
        <v>0</v>
      </c>
      <c r="BL160" s="7" t="s">
        <v>1</v>
      </c>
      <c r="BM160" s="6" t="s">
        <v>195</v>
      </c>
    </row>
    <row r="161" spans="2:65" s="2" customFormat="1" ht="16.5" customHeight="1">
      <c r="B161" s="3"/>
      <c r="C161" s="20" t="s">
        <v>286</v>
      </c>
      <c r="D161" s="20" t="s">
        <v>4</v>
      </c>
      <c r="E161" s="19" t="s">
        <v>285</v>
      </c>
      <c r="F161" s="14" t="s">
        <v>284</v>
      </c>
      <c r="G161" s="18" t="s">
        <v>8</v>
      </c>
      <c r="H161" s="17">
        <v>1</v>
      </c>
      <c r="I161" s="16"/>
      <c r="J161" s="15">
        <f t="shared" si="20"/>
        <v>0</v>
      </c>
      <c r="K161" s="14" t="s">
        <v>7</v>
      </c>
      <c r="L161" s="3"/>
      <c r="M161" s="24" t="s">
        <v>6</v>
      </c>
      <c r="N161" s="23" t="s">
        <v>5</v>
      </c>
      <c r="P161" s="22">
        <f t="shared" si="21"/>
        <v>0</v>
      </c>
      <c r="Q161" s="22">
        <v>0</v>
      </c>
      <c r="R161" s="22">
        <f t="shared" si="22"/>
        <v>0</v>
      </c>
      <c r="S161" s="22">
        <v>0</v>
      </c>
      <c r="T161" s="21">
        <f t="shared" si="23"/>
        <v>0</v>
      </c>
      <c r="AR161" s="6" t="s">
        <v>1</v>
      </c>
      <c r="AT161" s="6" t="s">
        <v>4</v>
      </c>
      <c r="AU161" s="6" t="s">
        <v>2</v>
      </c>
      <c r="AY161" s="7" t="s">
        <v>3</v>
      </c>
      <c r="BE161" s="8">
        <f t="shared" si="24"/>
        <v>0</v>
      </c>
      <c r="BF161" s="8">
        <f t="shared" si="25"/>
        <v>0</v>
      </c>
      <c r="BG161" s="8">
        <f t="shared" si="26"/>
        <v>0</v>
      </c>
      <c r="BH161" s="8">
        <f t="shared" si="27"/>
        <v>0</v>
      </c>
      <c r="BI161" s="8">
        <f t="shared" si="28"/>
        <v>0</v>
      </c>
      <c r="BJ161" s="7" t="s">
        <v>2</v>
      </c>
      <c r="BK161" s="8">
        <f t="shared" si="29"/>
        <v>0</v>
      </c>
      <c r="BL161" s="7" t="s">
        <v>1</v>
      </c>
      <c r="BM161" s="6" t="s">
        <v>187</v>
      </c>
    </row>
    <row r="162" spans="2:65" s="2" customFormat="1" ht="16.5" customHeight="1">
      <c r="B162" s="3"/>
      <c r="C162" s="20" t="s">
        <v>283</v>
      </c>
      <c r="D162" s="20" t="s">
        <v>4</v>
      </c>
      <c r="E162" s="19" t="s">
        <v>282</v>
      </c>
      <c r="F162" s="14" t="s">
        <v>243</v>
      </c>
      <c r="G162" s="18" t="s">
        <v>8</v>
      </c>
      <c r="H162" s="17">
        <v>1</v>
      </c>
      <c r="I162" s="16"/>
      <c r="J162" s="15">
        <f t="shared" si="20"/>
        <v>0</v>
      </c>
      <c r="K162" s="14" t="s">
        <v>7</v>
      </c>
      <c r="L162" s="3"/>
      <c r="M162" s="24" t="s">
        <v>6</v>
      </c>
      <c r="N162" s="23" t="s">
        <v>5</v>
      </c>
      <c r="P162" s="22">
        <f t="shared" si="21"/>
        <v>0</v>
      </c>
      <c r="Q162" s="22">
        <v>0</v>
      </c>
      <c r="R162" s="22">
        <f t="shared" si="22"/>
        <v>0</v>
      </c>
      <c r="S162" s="22">
        <v>0</v>
      </c>
      <c r="T162" s="21">
        <f t="shared" si="23"/>
        <v>0</v>
      </c>
      <c r="AR162" s="6" t="s">
        <v>1</v>
      </c>
      <c r="AT162" s="6" t="s">
        <v>4</v>
      </c>
      <c r="AU162" s="6" t="s">
        <v>2</v>
      </c>
      <c r="AY162" s="7" t="s">
        <v>3</v>
      </c>
      <c r="BE162" s="8">
        <f t="shared" si="24"/>
        <v>0</v>
      </c>
      <c r="BF162" s="8">
        <f t="shared" si="25"/>
        <v>0</v>
      </c>
      <c r="BG162" s="8">
        <f t="shared" si="26"/>
        <v>0</v>
      </c>
      <c r="BH162" s="8">
        <f t="shared" si="27"/>
        <v>0</v>
      </c>
      <c r="BI162" s="8">
        <f t="shared" si="28"/>
        <v>0</v>
      </c>
      <c r="BJ162" s="7" t="s">
        <v>2</v>
      </c>
      <c r="BK162" s="8">
        <f t="shared" si="29"/>
        <v>0</v>
      </c>
      <c r="BL162" s="7" t="s">
        <v>1</v>
      </c>
      <c r="BM162" s="6" t="s">
        <v>179</v>
      </c>
    </row>
    <row r="163" spans="2:65" s="2" customFormat="1" ht="16.5" customHeight="1">
      <c r="B163" s="3"/>
      <c r="C163" s="20" t="s">
        <v>281</v>
      </c>
      <c r="D163" s="20" t="s">
        <v>4</v>
      </c>
      <c r="E163" s="19" t="s">
        <v>280</v>
      </c>
      <c r="F163" s="14" t="s">
        <v>240</v>
      </c>
      <c r="G163" s="18" t="s">
        <v>8</v>
      </c>
      <c r="H163" s="17">
        <v>1</v>
      </c>
      <c r="I163" s="16"/>
      <c r="J163" s="15">
        <f t="shared" si="20"/>
        <v>0</v>
      </c>
      <c r="K163" s="14" t="s">
        <v>7</v>
      </c>
      <c r="L163" s="3"/>
      <c r="M163" s="24" t="s">
        <v>6</v>
      </c>
      <c r="N163" s="23" t="s">
        <v>5</v>
      </c>
      <c r="P163" s="22">
        <f t="shared" si="21"/>
        <v>0</v>
      </c>
      <c r="Q163" s="22">
        <v>0</v>
      </c>
      <c r="R163" s="22">
        <f t="shared" si="22"/>
        <v>0</v>
      </c>
      <c r="S163" s="22">
        <v>0</v>
      </c>
      <c r="T163" s="21">
        <f t="shared" si="23"/>
        <v>0</v>
      </c>
      <c r="AR163" s="6" t="s">
        <v>1</v>
      </c>
      <c r="AT163" s="6" t="s">
        <v>4</v>
      </c>
      <c r="AU163" s="6" t="s">
        <v>2</v>
      </c>
      <c r="AY163" s="7" t="s">
        <v>3</v>
      </c>
      <c r="BE163" s="8">
        <f t="shared" si="24"/>
        <v>0</v>
      </c>
      <c r="BF163" s="8">
        <f t="shared" si="25"/>
        <v>0</v>
      </c>
      <c r="BG163" s="8">
        <f t="shared" si="26"/>
        <v>0</v>
      </c>
      <c r="BH163" s="8">
        <f t="shared" si="27"/>
        <v>0</v>
      </c>
      <c r="BI163" s="8">
        <f t="shared" si="28"/>
        <v>0</v>
      </c>
      <c r="BJ163" s="7" t="s">
        <v>2</v>
      </c>
      <c r="BK163" s="8">
        <f t="shared" si="29"/>
        <v>0</v>
      </c>
      <c r="BL163" s="7" t="s">
        <v>1</v>
      </c>
      <c r="BM163" s="6" t="s">
        <v>173</v>
      </c>
    </row>
    <row r="164" spans="2:65" s="2" customFormat="1" ht="16.5" customHeight="1">
      <c r="B164" s="3"/>
      <c r="C164" s="20" t="s">
        <v>279</v>
      </c>
      <c r="D164" s="20" t="s">
        <v>4</v>
      </c>
      <c r="E164" s="19" t="s">
        <v>278</v>
      </c>
      <c r="F164" s="14" t="s">
        <v>237</v>
      </c>
      <c r="G164" s="18" t="s">
        <v>8</v>
      </c>
      <c r="H164" s="17">
        <v>1</v>
      </c>
      <c r="I164" s="16"/>
      <c r="J164" s="15">
        <f t="shared" si="20"/>
        <v>0</v>
      </c>
      <c r="K164" s="14" t="s">
        <v>7</v>
      </c>
      <c r="L164" s="3"/>
      <c r="M164" s="24" t="s">
        <v>6</v>
      </c>
      <c r="N164" s="23" t="s">
        <v>5</v>
      </c>
      <c r="P164" s="22">
        <f t="shared" si="21"/>
        <v>0</v>
      </c>
      <c r="Q164" s="22">
        <v>0</v>
      </c>
      <c r="R164" s="22">
        <f t="shared" si="22"/>
        <v>0</v>
      </c>
      <c r="S164" s="22">
        <v>0</v>
      </c>
      <c r="T164" s="21">
        <f t="shared" si="23"/>
        <v>0</v>
      </c>
      <c r="AR164" s="6" t="s">
        <v>1</v>
      </c>
      <c r="AT164" s="6" t="s">
        <v>4</v>
      </c>
      <c r="AU164" s="6" t="s">
        <v>2</v>
      </c>
      <c r="AY164" s="7" t="s">
        <v>3</v>
      </c>
      <c r="BE164" s="8">
        <f t="shared" si="24"/>
        <v>0</v>
      </c>
      <c r="BF164" s="8">
        <f t="shared" si="25"/>
        <v>0</v>
      </c>
      <c r="BG164" s="8">
        <f t="shared" si="26"/>
        <v>0</v>
      </c>
      <c r="BH164" s="8">
        <f t="shared" si="27"/>
        <v>0</v>
      </c>
      <c r="BI164" s="8">
        <f t="shared" si="28"/>
        <v>0</v>
      </c>
      <c r="BJ164" s="7" t="s">
        <v>2</v>
      </c>
      <c r="BK164" s="8">
        <f t="shared" si="29"/>
        <v>0</v>
      </c>
      <c r="BL164" s="7" t="s">
        <v>1</v>
      </c>
      <c r="BM164" s="6" t="s">
        <v>166</v>
      </c>
    </row>
    <row r="165" spans="2:65" s="2" customFormat="1" ht="16.5" customHeight="1">
      <c r="B165" s="3"/>
      <c r="C165" s="20" t="s">
        <v>277</v>
      </c>
      <c r="D165" s="20" t="s">
        <v>4</v>
      </c>
      <c r="E165" s="19" t="s">
        <v>276</v>
      </c>
      <c r="F165" s="14" t="s">
        <v>234</v>
      </c>
      <c r="G165" s="18" t="s">
        <v>8</v>
      </c>
      <c r="H165" s="17">
        <v>1</v>
      </c>
      <c r="I165" s="16"/>
      <c r="J165" s="15">
        <f t="shared" si="20"/>
        <v>0</v>
      </c>
      <c r="K165" s="14" t="s">
        <v>7</v>
      </c>
      <c r="L165" s="3"/>
      <c r="M165" s="24" t="s">
        <v>6</v>
      </c>
      <c r="N165" s="23" t="s">
        <v>5</v>
      </c>
      <c r="P165" s="22">
        <f t="shared" si="21"/>
        <v>0</v>
      </c>
      <c r="Q165" s="22">
        <v>0</v>
      </c>
      <c r="R165" s="22">
        <f t="shared" si="22"/>
        <v>0</v>
      </c>
      <c r="S165" s="22">
        <v>0</v>
      </c>
      <c r="T165" s="21">
        <f t="shared" si="23"/>
        <v>0</v>
      </c>
      <c r="AR165" s="6" t="s">
        <v>1</v>
      </c>
      <c r="AT165" s="6" t="s">
        <v>4</v>
      </c>
      <c r="AU165" s="6" t="s">
        <v>2</v>
      </c>
      <c r="AY165" s="7" t="s">
        <v>3</v>
      </c>
      <c r="BE165" s="8">
        <f t="shared" si="24"/>
        <v>0</v>
      </c>
      <c r="BF165" s="8">
        <f t="shared" si="25"/>
        <v>0</v>
      </c>
      <c r="BG165" s="8">
        <f t="shared" si="26"/>
        <v>0</v>
      </c>
      <c r="BH165" s="8">
        <f t="shared" si="27"/>
        <v>0</v>
      </c>
      <c r="BI165" s="8">
        <f t="shared" si="28"/>
        <v>0</v>
      </c>
      <c r="BJ165" s="7" t="s">
        <v>2</v>
      </c>
      <c r="BK165" s="8">
        <f t="shared" si="29"/>
        <v>0</v>
      </c>
      <c r="BL165" s="7" t="s">
        <v>1</v>
      </c>
      <c r="BM165" s="6" t="s">
        <v>159</v>
      </c>
    </row>
    <row r="166" spans="2:65" s="2" customFormat="1" ht="16.5" customHeight="1">
      <c r="B166" s="3"/>
      <c r="C166" s="20" t="s">
        <v>275</v>
      </c>
      <c r="D166" s="20" t="s">
        <v>4</v>
      </c>
      <c r="E166" s="19" t="s">
        <v>274</v>
      </c>
      <c r="F166" s="14" t="s">
        <v>231</v>
      </c>
      <c r="G166" s="18" t="s">
        <v>8</v>
      </c>
      <c r="H166" s="17">
        <v>14</v>
      </c>
      <c r="I166" s="16"/>
      <c r="J166" s="15">
        <f t="shared" si="20"/>
        <v>0</v>
      </c>
      <c r="K166" s="14" t="s">
        <v>7</v>
      </c>
      <c r="L166" s="3"/>
      <c r="M166" s="24" t="s">
        <v>6</v>
      </c>
      <c r="N166" s="23" t="s">
        <v>5</v>
      </c>
      <c r="P166" s="22">
        <f t="shared" si="21"/>
        <v>0</v>
      </c>
      <c r="Q166" s="22">
        <v>0</v>
      </c>
      <c r="R166" s="22">
        <f t="shared" si="22"/>
        <v>0</v>
      </c>
      <c r="S166" s="22">
        <v>0</v>
      </c>
      <c r="T166" s="21">
        <f t="shared" si="23"/>
        <v>0</v>
      </c>
      <c r="AR166" s="6" t="s">
        <v>1</v>
      </c>
      <c r="AT166" s="6" t="s">
        <v>4</v>
      </c>
      <c r="AU166" s="6" t="s">
        <v>2</v>
      </c>
      <c r="AY166" s="7" t="s">
        <v>3</v>
      </c>
      <c r="BE166" s="8">
        <f t="shared" si="24"/>
        <v>0</v>
      </c>
      <c r="BF166" s="8">
        <f t="shared" si="25"/>
        <v>0</v>
      </c>
      <c r="BG166" s="8">
        <f t="shared" si="26"/>
        <v>0</v>
      </c>
      <c r="BH166" s="8">
        <f t="shared" si="27"/>
        <v>0</v>
      </c>
      <c r="BI166" s="8">
        <f t="shared" si="28"/>
        <v>0</v>
      </c>
      <c r="BJ166" s="7" t="s">
        <v>2</v>
      </c>
      <c r="BK166" s="8">
        <f t="shared" si="29"/>
        <v>0</v>
      </c>
      <c r="BL166" s="7" t="s">
        <v>1</v>
      </c>
      <c r="BM166" s="6" t="s">
        <v>151</v>
      </c>
    </row>
    <row r="167" spans="2:65" s="2" customFormat="1" ht="21.75" customHeight="1">
      <c r="B167" s="3"/>
      <c r="C167" s="20" t="s">
        <v>273</v>
      </c>
      <c r="D167" s="20" t="s">
        <v>4</v>
      </c>
      <c r="E167" s="19" t="s">
        <v>272</v>
      </c>
      <c r="F167" s="14" t="s">
        <v>271</v>
      </c>
      <c r="G167" s="18" t="s">
        <v>30</v>
      </c>
      <c r="H167" s="17">
        <v>4</v>
      </c>
      <c r="I167" s="16"/>
      <c r="J167" s="15">
        <f t="shared" si="20"/>
        <v>0</v>
      </c>
      <c r="K167" s="14" t="s">
        <v>7</v>
      </c>
      <c r="L167" s="3"/>
      <c r="M167" s="24" t="s">
        <v>6</v>
      </c>
      <c r="N167" s="23" t="s">
        <v>5</v>
      </c>
      <c r="P167" s="22">
        <f t="shared" si="21"/>
        <v>0</v>
      </c>
      <c r="Q167" s="22">
        <v>0</v>
      </c>
      <c r="R167" s="22">
        <f t="shared" si="22"/>
        <v>0</v>
      </c>
      <c r="S167" s="22">
        <v>0</v>
      </c>
      <c r="T167" s="21">
        <f t="shared" si="23"/>
        <v>0</v>
      </c>
      <c r="AR167" s="6" t="s">
        <v>1</v>
      </c>
      <c r="AT167" s="6" t="s">
        <v>4</v>
      </c>
      <c r="AU167" s="6" t="s">
        <v>2</v>
      </c>
      <c r="AY167" s="7" t="s">
        <v>3</v>
      </c>
      <c r="BE167" s="8">
        <f t="shared" si="24"/>
        <v>0</v>
      </c>
      <c r="BF167" s="8">
        <f t="shared" si="25"/>
        <v>0</v>
      </c>
      <c r="BG167" s="8">
        <f t="shared" si="26"/>
        <v>0</v>
      </c>
      <c r="BH167" s="8">
        <f t="shared" si="27"/>
        <v>0</v>
      </c>
      <c r="BI167" s="8">
        <f t="shared" si="28"/>
        <v>0</v>
      </c>
      <c r="BJ167" s="7" t="s">
        <v>2</v>
      </c>
      <c r="BK167" s="8">
        <f t="shared" si="29"/>
        <v>0</v>
      </c>
      <c r="BL167" s="7" t="s">
        <v>1</v>
      </c>
      <c r="BM167" s="6" t="s">
        <v>144</v>
      </c>
    </row>
    <row r="168" spans="2:65" s="2" customFormat="1" ht="16.5" customHeight="1">
      <c r="B168" s="3"/>
      <c r="C168" s="20" t="s">
        <v>270</v>
      </c>
      <c r="D168" s="20" t="s">
        <v>4</v>
      </c>
      <c r="E168" s="19" t="s">
        <v>269</v>
      </c>
      <c r="F168" s="14" t="s">
        <v>119</v>
      </c>
      <c r="G168" s="18" t="s">
        <v>30</v>
      </c>
      <c r="H168" s="17">
        <v>6</v>
      </c>
      <c r="I168" s="16"/>
      <c r="J168" s="15">
        <f t="shared" si="20"/>
        <v>0</v>
      </c>
      <c r="K168" s="14" t="s">
        <v>7</v>
      </c>
      <c r="L168" s="3"/>
      <c r="M168" s="24" t="s">
        <v>6</v>
      </c>
      <c r="N168" s="23" t="s">
        <v>5</v>
      </c>
      <c r="P168" s="22">
        <f t="shared" si="21"/>
        <v>0</v>
      </c>
      <c r="Q168" s="22">
        <v>0</v>
      </c>
      <c r="R168" s="22">
        <f t="shared" si="22"/>
        <v>0</v>
      </c>
      <c r="S168" s="22">
        <v>0</v>
      </c>
      <c r="T168" s="21">
        <f t="shared" si="23"/>
        <v>0</v>
      </c>
      <c r="AR168" s="6" t="s">
        <v>1</v>
      </c>
      <c r="AT168" s="6" t="s">
        <v>4</v>
      </c>
      <c r="AU168" s="6" t="s">
        <v>2</v>
      </c>
      <c r="AY168" s="7" t="s">
        <v>3</v>
      </c>
      <c r="BE168" s="8">
        <f t="shared" si="24"/>
        <v>0</v>
      </c>
      <c r="BF168" s="8">
        <f t="shared" si="25"/>
        <v>0</v>
      </c>
      <c r="BG168" s="8">
        <f t="shared" si="26"/>
        <v>0</v>
      </c>
      <c r="BH168" s="8">
        <f t="shared" si="27"/>
        <v>0</v>
      </c>
      <c r="BI168" s="8">
        <f t="shared" si="28"/>
        <v>0</v>
      </c>
      <c r="BJ168" s="7" t="s">
        <v>2</v>
      </c>
      <c r="BK168" s="8">
        <f t="shared" si="29"/>
        <v>0</v>
      </c>
      <c r="BL168" s="7" t="s">
        <v>1</v>
      </c>
      <c r="BM168" s="6" t="s">
        <v>137</v>
      </c>
    </row>
    <row r="169" spans="2:65" s="25" customFormat="1" ht="25.9" customHeight="1">
      <c r="B169" s="32"/>
      <c r="D169" s="27" t="s">
        <v>26</v>
      </c>
      <c r="E169" s="35" t="s">
        <v>268</v>
      </c>
      <c r="F169" s="35" t="s">
        <v>267</v>
      </c>
      <c r="I169" s="34"/>
      <c r="J169" s="33">
        <f>BK169</f>
        <v>0</v>
      </c>
      <c r="L169" s="32"/>
      <c r="M169" s="31"/>
      <c r="P169" s="30">
        <f>SUM(P170:P181)</f>
        <v>0</v>
      </c>
      <c r="R169" s="30">
        <f>SUM(R170:R181)</f>
        <v>0</v>
      </c>
      <c r="T169" s="29">
        <f>SUM(T170:T181)</f>
        <v>0</v>
      </c>
      <c r="AR169" s="27" t="s">
        <v>2</v>
      </c>
      <c r="AT169" s="28" t="s">
        <v>26</v>
      </c>
      <c r="AU169" s="28" t="s">
        <v>25</v>
      </c>
      <c r="AY169" s="27" t="s">
        <v>3</v>
      </c>
      <c r="BK169" s="26">
        <f>SUM(BK170:BK181)</f>
        <v>0</v>
      </c>
    </row>
    <row r="170" spans="2:65" s="2" customFormat="1" ht="33" customHeight="1">
      <c r="B170" s="3"/>
      <c r="C170" s="20" t="s">
        <v>266</v>
      </c>
      <c r="D170" s="20" t="s">
        <v>4</v>
      </c>
      <c r="E170" s="19" t="s">
        <v>265</v>
      </c>
      <c r="F170" s="14" t="s">
        <v>264</v>
      </c>
      <c r="G170" s="18" t="s">
        <v>8</v>
      </c>
      <c r="H170" s="17">
        <v>1</v>
      </c>
      <c r="I170" s="16"/>
      <c r="J170" s="15">
        <f t="shared" ref="J170:J181" si="30">ROUND(I170*H170,2)</f>
        <v>0</v>
      </c>
      <c r="K170" s="14" t="s">
        <v>7</v>
      </c>
      <c r="L170" s="3"/>
      <c r="M170" s="24" t="s">
        <v>6</v>
      </c>
      <c r="N170" s="23" t="s">
        <v>5</v>
      </c>
      <c r="P170" s="22">
        <f t="shared" ref="P170:P181" si="31">O170*H170</f>
        <v>0</v>
      </c>
      <c r="Q170" s="22">
        <v>0</v>
      </c>
      <c r="R170" s="22">
        <f t="shared" ref="R170:R181" si="32">Q170*H170</f>
        <v>0</v>
      </c>
      <c r="S170" s="22">
        <v>0</v>
      </c>
      <c r="T170" s="21">
        <f t="shared" ref="T170:T181" si="33">S170*H170</f>
        <v>0</v>
      </c>
      <c r="AR170" s="6" t="s">
        <v>1</v>
      </c>
      <c r="AT170" s="6" t="s">
        <v>4</v>
      </c>
      <c r="AU170" s="6" t="s">
        <v>2</v>
      </c>
      <c r="AY170" s="7" t="s">
        <v>3</v>
      </c>
      <c r="BE170" s="8">
        <f t="shared" ref="BE170:BE181" si="34">IF(N170="základní",J170,0)</f>
        <v>0</v>
      </c>
      <c r="BF170" s="8">
        <f t="shared" ref="BF170:BF181" si="35">IF(N170="snížená",J170,0)</f>
        <v>0</v>
      </c>
      <c r="BG170" s="8">
        <f t="shared" ref="BG170:BG181" si="36">IF(N170="zákl. přenesená",J170,0)</f>
        <v>0</v>
      </c>
      <c r="BH170" s="8">
        <f t="shared" ref="BH170:BH181" si="37">IF(N170="sníž. přenesená",J170,0)</f>
        <v>0</v>
      </c>
      <c r="BI170" s="8">
        <f t="shared" ref="BI170:BI181" si="38">IF(N170="nulová",J170,0)</f>
        <v>0</v>
      </c>
      <c r="BJ170" s="7" t="s">
        <v>2</v>
      </c>
      <c r="BK170" s="8">
        <f t="shared" ref="BK170:BK181" si="39">ROUND(I170*H170,2)</f>
        <v>0</v>
      </c>
      <c r="BL170" s="7" t="s">
        <v>1</v>
      </c>
      <c r="BM170" s="6" t="s">
        <v>129</v>
      </c>
    </row>
    <row r="171" spans="2:65" s="2" customFormat="1" ht="16.5" customHeight="1">
      <c r="B171" s="3"/>
      <c r="C171" s="20" t="s">
        <v>263</v>
      </c>
      <c r="D171" s="20" t="s">
        <v>4</v>
      </c>
      <c r="E171" s="19" t="s">
        <v>262</v>
      </c>
      <c r="F171" s="14" t="s">
        <v>261</v>
      </c>
      <c r="G171" s="18" t="s">
        <v>8</v>
      </c>
      <c r="H171" s="17">
        <v>1</v>
      </c>
      <c r="I171" s="16"/>
      <c r="J171" s="15">
        <f t="shared" si="30"/>
        <v>0</v>
      </c>
      <c r="K171" s="14" t="s">
        <v>7</v>
      </c>
      <c r="L171" s="3"/>
      <c r="M171" s="24" t="s">
        <v>6</v>
      </c>
      <c r="N171" s="23" t="s">
        <v>5</v>
      </c>
      <c r="P171" s="22">
        <f t="shared" si="31"/>
        <v>0</v>
      </c>
      <c r="Q171" s="22">
        <v>0</v>
      </c>
      <c r="R171" s="22">
        <f t="shared" si="32"/>
        <v>0</v>
      </c>
      <c r="S171" s="22">
        <v>0</v>
      </c>
      <c r="T171" s="21">
        <f t="shared" si="33"/>
        <v>0</v>
      </c>
      <c r="AR171" s="6" t="s">
        <v>1</v>
      </c>
      <c r="AT171" s="6" t="s">
        <v>4</v>
      </c>
      <c r="AU171" s="6" t="s">
        <v>2</v>
      </c>
      <c r="AY171" s="7" t="s">
        <v>3</v>
      </c>
      <c r="BE171" s="8">
        <f t="shared" si="34"/>
        <v>0</v>
      </c>
      <c r="BF171" s="8">
        <f t="shared" si="35"/>
        <v>0</v>
      </c>
      <c r="BG171" s="8">
        <f t="shared" si="36"/>
        <v>0</v>
      </c>
      <c r="BH171" s="8">
        <f t="shared" si="37"/>
        <v>0</v>
      </c>
      <c r="BI171" s="8">
        <f t="shared" si="38"/>
        <v>0</v>
      </c>
      <c r="BJ171" s="7" t="s">
        <v>2</v>
      </c>
      <c r="BK171" s="8">
        <f t="shared" si="39"/>
        <v>0</v>
      </c>
      <c r="BL171" s="7" t="s">
        <v>1</v>
      </c>
      <c r="BM171" s="6" t="s">
        <v>121</v>
      </c>
    </row>
    <row r="172" spans="2:65" s="2" customFormat="1" ht="16.5" customHeight="1">
      <c r="B172" s="3"/>
      <c r="C172" s="20" t="s">
        <v>260</v>
      </c>
      <c r="D172" s="20" t="s">
        <v>4</v>
      </c>
      <c r="E172" s="19" t="s">
        <v>259</v>
      </c>
      <c r="F172" s="14" t="s">
        <v>258</v>
      </c>
      <c r="G172" s="18" t="s">
        <v>8</v>
      </c>
      <c r="H172" s="17">
        <v>3</v>
      </c>
      <c r="I172" s="16"/>
      <c r="J172" s="15">
        <f t="shared" si="30"/>
        <v>0</v>
      </c>
      <c r="K172" s="14" t="s">
        <v>7</v>
      </c>
      <c r="L172" s="3"/>
      <c r="M172" s="24" t="s">
        <v>6</v>
      </c>
      <c r="N172" s="23" t="s">
        <v>5</v>
      </c>
      <c r="P172" s="22">
        <f t="shared" si="31"/>
        <v>0</v>
      </c>
      <c r="Q172" s="22">
        <v>0</v>
      </c>
      <c r="R172" s="22">
        <f t="shared" si="32"/>
        <v>0</v>
      </c>
      <c r="S172" s="22">
        <v>0</v>
      </c>
      <c r="T172" s="21">
        <f t="shared" si="33"/>
        <v>0</v>
      </c>
      <c r="AR172" s="6" t="s">
        <v>1</v>
      </c>
      <c r="AT172" s="6" t="s">
        <v>4</v>
      </c>
      <c r="AU172" s="6" t="s">
        <v>2</v>
      </c>
      <c r="AY172" s="7" t="s">
        <v>3</v>
      </c>
      <c r="BE172" s="8">
        <f t="shared" si="34"/>
        <v>0</v>
      </c>
      <c r="BF172" s="8">
        <f t="shared" si="35"/>
        <v>0</v>
      </c>
      <c r="BG172" s="8">
        <f t="shared" si="36"/>
        <v>0</v>
      </c>
      <c r="BH172" s="8">
        <f t="shared" si="37"/>
        <v>0</v>
      </c>
      <c r="BI172" s="8">
        <f t="shared" si="38"/>
        <v>0</v>
      </c>
      <c r="BJ172" s="7" t="s">
        <v>2</v>
      </c>
      <c r="BK172" s="8">
        <f t="shared" si="39"/>
        <v>0</v>
      </c>
      <c r="BL172" s="7" t="s">
        <v>1</v>
      </c>
      <c r="BM172" s="6" t="s">
        <v>109</v>
      </c>
    </row>
    <row r="173" spans="2:65" s="2" customFormat="1" ht="16.5" customHeight="1">
      <c r="B173" s="3"/>
      <c r="C173" s="20" t="s">
        <v>257</v>
      </c>
      <c r="D173" s="20" t="s">
        <v>4</v>
      </c>
      <c r="E173" s="19" t="s">
        <v>256</v>
      </c>
      <c r="F173" s="14" t="s">
        <v>255</v>
      </c>
      <c r="G173" s="18" t="s">
        <v>8</v>
      </c>
      <c r="H173" s="17">
        <v>3</v>
      </c>
      <c r="I173" s="16"/>
      <c r="J173" s="15">
        <f t="shared" si="30"/>
        <v>0</v>
      </c>
      <c r="K173" s="14" t="s">
        <v>7</v>
      </c>
      <c r="L173" s="3"/>
      <c r="M173" s="24" t="s">
        <v>6</v>
      </c>
      <c r="N173" s="23" t="s">
        <v>5</v>
      </c>
      <c r="P173" s="22">
        <f t="shared" si="31"/>
        <v>0</v>
      </c>
      <c r="Q173" s="22">
        <v>0</v>
      </c>
      <c r="R173" s="22">
        <f t="shared" si="32"/>
        <v>0</v>
      </c>
      <c r="S173" s="22">
        <v>0</v>
      </c>
      <c r="T173" s="21">
        <f t="shared" si="33"/>
        <v>0</v>
      </c>
      <c r="AR173" s="6" t="s">
        <v>1</v>
      </c>
      <c r="AT173" s="6" t="s">
        <v>4</v>
      </c>
      <c r="AU173" s="6" t="s">
        <v>2</v>
      </c>
      <c r="AY173" s="7" t="s">
        <v>3</v>
      </c>
      <c r="BE173" s="8">
        <f t="shared" si="34"/>
        <v>0</v>
      </c>
      <c r="BF173" s="8">
        <f t="shared" si="35"/>
        <v>0</v>
      </c>
      <c r="BG173" s="8">
        <f t="shared" si="36"/>
        <v>0</v>
      </c>
      <c r="BH173" s="8">
        <f t="shared" si="37"/>
        <v>0</v>
      </c>
      <c r="BI173" s="8">
        <f t="shared" si="38"/>
        <v>0</v>
      </c>
      <c r="BJ173" s="7" t="s">
        <v>2</v>
      </c>
      <c r="BK173" s="8">
        <f t="shared" si="39"/>
        <v>0</v>
      </c>
      <c r="BL173" s="7" t="s">
        <v>1</v>
      </c>
      <c r="BM173" s="6" t="s">
        <v>101</v>
      </c>
    </row>
    <row r="174" spans="2:65" s="2" customFormat="1" ht="16.5" customHeight="1">
      <c r="B174" s="3"/>
      <c r="C174" s="20" t="s">
        <v>254</v>
      </c>
      <c r="D174" s="20" t="s">
        <v>4</v>
      </c>
      <c r="E174" s="19" t="s">
        <v>253</v>
      </c>
      <c r="F174" s="14" t="s">
        <v>252</v>
      </c>
      <c r="G174" s="18" t="s">
        <v>8</v>
      </c>
      <c r="H174" s="17">
        <v>4</v>
      </c>
      <c r="I174" s="16"/>
      <c r="J174" s="15">
        <f t="shared" si="30"/>
        <v>0</v>
      </c>
      <c r="K174" s="14" t="s">
        <v>7</v>
      </c>
      <c r="L174" s="3"/>
      <c r="M174" s="24" t="s">
        <v>6</v>
      </c>
      <c r="N174" s="23" t="s">
        <v>5</v>
      </c>
      <c r="P174" s="22">
        <f t="shared" si="31"/>
        <v>0</v>
      </c>
      <c r="Q174" s="22">
        <v>0</v>
      </c>
      <c r="R174" s="22">
        <f t="shared" si="32"/>
        <v>0</v>
      </c>
      <c r="S174" s="22">
        <v>0</v>
      </c>
      <c r="T174" s="21">
        <f t="shared" si="33"/>
        <v>0</v>
      </c>
      <c r="AR174" s="6" t="s">
        <v>1</v>
      </c>
      <c r="AT174" s="6" t="s">
        <v>4</v>
      </c>
      <c r="AU174" s="6" t="s">
        <v>2</v>
      </c>
      <c r="AY174" s="7" t="s">
        <v>3</v>
      </c>
      <c r="BE174" s="8">
        <f t="shared" si="34"/>
        <v>0</v>
      </c>
      <c r="BF174" s="8">
        <f t="shared" si="35"/>
        <v>0</v>
      </c>
      <c r="BG174" s="8">
        <f t="shared" si="36"/>
        <v>0</v>
      </c>
      <c r="BH174" s="8">
        <f t="shared" si="37"/>
        <v>0</v>
      </c>
      <c r="BI174" s="8">
        <f t="shared" si="38"/>
        <v>0</v>
      </c>
      <c r="BJ174" s="7" t="s">
        <v>2</v>
      </c>
      <c r="BK174" s="8">
        <f t="shared" si="39"/>
        <v>0</v>
      </c>
      <c r="BL174" s="7" t="s">
        <v>1</v>
      </c>
      <c r="BM174" s="6" t="s">
        <v>93</v>
      </c>
    </row>
    <row r="175" spans="2:65" s="2" customFormat="1" ht="21.75" customHeight="1">
      <c r="B175" s="3"/>
      <c r="C175" s="20" t="s">
        <v>251</v>
      </c>
      <c r="D175" s="20" t="s">
        <v>4</v>
      </c>
      <c r="E175" s="19" t="s">
        <v>250</v>
      </c>
      <c r="F175" s="14" t="s">
        <v>249</v>
      </c>
      <c r="G175" s="18" t="s">
        <v>8</v>
      </c>
      <c r="H175" s="17">
        <v>1</v>
      </c>
      <c r="I175" s="16"/>
      <c r="J175" s="15">
        <f t="shared" si="30"/>
        <v>0</v>
      </c>
      <c r="K175" s="14" t="s">
        <v>7</v>
      </c>
      <c r="L175" s="3"/>
      <c r="M175" s="24" t="s">
        <v>6</v>
      </c>
      <c r="N175" s="23" t="s">
        <v>5</v>
      </c>
      <c r="P175" s="22">
        <f t="shared" si="31"/>
        <v>0</v>
      </c>
      <c r="Q175" s="22">
        <v>0</v>
      </c>
      <c r="R175" s="22">
        <f t="shared" si="32"/>
        <v>0</v>
      </c>
      <c r="S175" s="22">
        <v>0</v>
      </c>
      <c r="T175" s="21">
        <f t="shared" si="33"/>
        <v>0</v>
      </c>
      <c r="AR175" s="6" t="s">
        <v>1</v>
      </c>
      <c r="AT175" s="6" t="s">
        <v>4</v>
      </c>
      <c r="AU175" s="6" t="s">
        <v>2</v>
      </c>
      <c r="AY175" s="7" t="s">
        <v>3</v>
      </c>
      <c r="BE175" s="8">
        <f t="shared" si="34"/>
        <v>0</v>
      </c>
      <c r="BF175" s="8">
        <f t="shared" si="35"/>
        <v>0</v>
      </c>
      <c r="BG175" s="8">
        <f t="shared" si="36"/>
        <v>0</v>
      </c>
      <c r="BH175" s="8">
        <f t="shared" si="37"/>
        <v>0</v>
      </c>
      <c r="BI175" s="8">
        <f t="shared" si="38"/>
        <v>0</v>
      </c>
      <c r="BJ175" s="7" t="s">
        <v>2</v>
      </c>
      <c r="BK175" s="8">
        <f t="shared" si="39"/>
        <v>0</v>
      </c>
      <c r="BL175" s="7" t="s">
        <v>1</v>
      </c>
      <c r="BM175" s="6" t="s">
        <v>85</v>
      </c>
    </row>
    <row r="176" spans="2:65" s="2" customFormat="1" ht="16.5" customHeight="1">
      <c r="B176" s="3"/>
      <c r="C176" s="20" t="s">
        <v>248</v>
      </c>
      <c r="D176" s="20" t="s">
        <v>4</v>
      </c>
      <c r="E176" s="19" t="s">
        <v>247</v>
      </c>
      <c r="F176" s="14" t="s">
        <v>246</v>
      </c>
      <c r="G176" s="18" t="s">
        <v>8</v>
      </c>
      <c r="H176" s="17">
        <v>3</v>
      </c>
      <c r="I176" s="16"/>
      <c r="J176" s="15">
        <f t="shared" si="30"/>
        <v>0</v>
      </c>
      <c r="K176" s="14" t="s">
        <v>7</v>
      </c>
      <c r="L176" s="3"/>
      <c r="M176" s="24" t="s">
        <v>6</v>
      </c>
      <c r="N176" s="23" t="s">
        <v>5</v>
      </c>
      <c r="P176" s="22">
        <f t="shared" si="31"/>
        <v>0</v>
      </c>
      <c r="Q176" s="22">
        <v>0</v>
      </c>
      <c r="R176" s="22">
        <f t="shared" si="32"/>
        <v>0</v>
      </c>
      <c r="S176" s="22">
        <v>0</v>
      </c>
      <c r="T176" s="21">
        <f t="shared" si="33"/>
        <v>0</v>
      </c>
      <c r="AR176" s="6" t="s">
        <v>1</v>
      </c>
      <c r="AT176" s="6" t="s">
        <v>4</v>
      </c>
      <c r="AU176" s="6" t="s">
        <v>2</v>
      </c>
      <c r="AY176" s="7" t="s">
        <v>3</v>
      </c>
      <c r="BE176" s="8">
        <f t="shared" si="34"/>
        <v>0</v>
      </c>
      <c r="BF176" s="8">
        <f t="shared" si="35"/>
        <v>0</v>
      </c>
      <c r="BG176" s="8">
        <f t="shared" si="36"/>
        <v>0</v>
      </c>
      <c r="BH176" s="8">
        <f t="shared" si="37"/>
        <v>0</v>
      </c>
      <c r="BI176" s="8">
        <f t="shared" si="38"/>
        <v>0</v>
      </c>
      <c r="BJ176" s="7" t="s">
        <v>2</v>
      </c>
      <c r="BK176" s="8">
        <f t="shared" si="39"/>
        <v>0</v>
      </c>
      <c r="BL176" s="7" t="s">
        <v>1</v>
      </c>
      <c r="BM176" s="6" t="s">
        <v>77</v>
      </c>
    </row>
    <row r="177" spans="2:65" s="2" customFormat="1" ht="16.5" customHeight="1">
      <c r="B177" s="3"/>
      <c r="C177" s="20" t="s">
        <v>245</v>
      </c>
      <c r="D177" s="20" t="s">
        <v>4</v>
      </c>
      <c r="E177" s="19" t="s">
        <v>244</v>
      </c>
      <c r="F177" s="14" t="s">
        <v>243</v>
      </c>
      <c r="G177" s="18" t="s">
        <v>8</v>
      </c>
      <c r="H177" s="17">
        <v>1</v>
      </c>
      <c r="I177" s="16"/>
      <c r="J177" s="15">
        <f t="shared" si="30"/>
        <v>0</v>
      </c>
      <c r="K177" s="14" t="s">
        <v>7</v>
      </c>
      <c r="L177" s="3"/>
      <c r="M177" s="24" t="s">
        <v>6</v>
      </c>
      <c r="N177" s="23" t="s">
        <v>5</v>
      </c>
      <c r="P177" s="22">
        <f t="shared" si="31"/>
        <v>0</v>
      </c>
      <c r="Q177" s="22">
        <v>0</v>
      </c>
      <c r="R177" s="22">
        <f t="shared" si="32"/>
        <v>0</v>
      </c>
      <c r="S177" s="22">
        <v>0</v>
      </c>
      <c r="T177" s="21">
        <f t="shared" si="33"/>
        <v>0</v>
      </c>
      <c r="AR177" s="6" t="s">
        <v>1</v>
      </c>
      <c r="AT177" s="6" t="s">
        <v>4</v>
      </c>
      <c r="AU177" s="6" t="s">
        <v>2</v>
      </c>
      <c r="AY177" s="7" t="s">
        <v>3</v>
      </c>
      <c r="BE177" s="8">
        <f t="shared" si="34"/>
        <v>0</v>
      </c>
      <c r="BF177" s="8">
        <f t="shared" si="35"/>
        <v>0</v>
      </c>
      <c r="BG177" s="8">
        <f t="shared" si="36"/>
        <v>0</v>
      </c>
      <c r="BH177" s="8">
        <f t="shared" si="37"/>
        <v>0</v>
      </c>
      <c r="BI177" s="8">
        <f t="shared" si="38"/>
        <v>0</v>
      </c>
      <c r="BJ177" s="7" t="s">
        <v>2</v>
      </c>
      <c r="BK177" s="8">
        <f t="shared" si="39"/>
        <v>0</v>
      </c>
      <c r="BL177" s="7" t="s">
        <v>1</v>
      </c>
      <c r="BM177" s="6" t="s">
        <v>69</v>
      </c>
    </row>
    <row r="178" spans="2:65" s="2" customFormat="1" ht="16.5" customHeight="1">
      <c r="B178" s="3"/>
      <c r="C178" s="20" t="s">
        <v>242</v>
      </c>
      <c r="D178" s="20" t="s">
        <v>4</v>
      </c>
      <c r="E178" s="19" t="s">
        <v>241</v>
      </c>
      <c r="F178" s="14" t="s">
        <v>240</v>
      </c>
      <c r="G178" s="18" t="s">
        <v>8</v>
      </c>
      <c r="H178" s="17">
        <v>1</v>
      </c>
      <c r="I178" s="16"/>
      <c r="J178" s="15">
        <f t="shared" si="30"/>
        <v>0</v>
      </c>
      <c r="K178" s="14" t="s">
        <v>7</v>
      </c>
      <c r="L178" s="3"/>
      <c r="M178" s="24" t="s">
        <v>6</v>
      </c>
      <c r="N178" s="23" t="s">
        <v>5</v>
      </c>
      <c r="P178" s="22">
        <f t="shared" si="31"/>
        <v>0</v>
      </c>
      <c r="Q178" s="22">
        <v>0</v>
      </c>
      <c r="R178" s="22">
        <f t="shared" si="32"/>
        <v>0</v>
      </c>
      <c r="S178" s="22">
        <v>0</v>
      </c>
      <c r="T178" s="21">
        <f t="shared" si="33"/>
        <v>0</v>
      </c>
      <c r="AR178" s="6" t="s">
        <v>1</v>
      </c>
      <c r="AT178" s="6" t="s">
        <v>4</v>
      </c>
      <c r="AU178" s="6" t="s">
        <v>2</v>
      </c>
      <c r="AY178" s="7" t="s">
        <v>3</v>
      </c>
      <c r="BE178" s="8">
        <f t="shared" si="34"/>
        <v>0</v>
      </c>
      <c r="BF178" s="8">
        <f t="shared" si="35"/>
        <v>0</v>
      </c>
      <c r="BG178" s="8">
        <f t="shared" si="36"/>
        <v>0</v>
      </c>
      <c r="BH178" s="8">
        <f t="shared" si="37"/>
        <v>0</v>
      </c>
      <c r="BI178" s="8">
        <f t="shared" si="38"/>
        <v>0</v>
      </c>
      <c r="BJ178" s="7" t="s">
        <v>2</v>
      </c>
      <c r="BK178" s="8">
        <f t="shared" si="39"/>
        <v>0</v>
      </c>
      <c r="BL178" s="7" t="s">
        <v>1</v>
      </c>
      <c r="BM178" s="6" t="s">
        <v>61</v>
      </c>
    </row>
    <row r="179" spans="2:65" s="2" customFormat="1" ht="16.5" customHeight="1">
      <c r="B179" s="3"/>
      <c r="C179" s="20" t="s">
        <v>239</v>
      </c>
      <c r="D179" s="20" t="s">
        <v>4</v>
      </c>
      <c r="E179" s="19" t="s">
        <v>238</v>
      </c>
      <c r="F179" s="14" t="s">
        <v>237</v>
      </c>
      <c r="G179" s="18" t="s">
        <v>8</v>
      </c>
      <c r="H179" s="17">
        <v>1</v>
      </c>
      <c r="I179" s="16"/>
      <c r="J179" s="15">
        <f t="shared" si="30"/>
        <v>0</v>
      </c>
      <c r="K179" s="14" t="s">
        <v>7</v>
      </c>
      <c r="L179" s="3"/>
      <c r="M179" s="24" t="s">
        <v>6</v>
      </c>
      <c r="N179" s="23" t="s">
        <v>5</v>
      </c>
      <c r="P179" s="22">
        <f t="shared" si="31"/>
        <v>0</v>
      </c>
      <c r="Q179" s="22">
        <v>0</v>
      </c>
      <c r="R179" s="22">
        <f t="shared" si="32"/>
        <v>0</v>
      </c>
      <c r="S179" s="22">
        <v>0</v>
      </c>
      <c r="T179" s="21">
        <f t="shared" si="33"/>
        <v>0</v>
      </c>
      <c r="AR179" s="6" t="s">
        <v>1</v>
      </c>
      <c r="AT179" s="6" t="s">
        <v>4</v>
      </c>
      <c r="AU179" s="6" t="s">
        <v>2</v>
      </c>
      <c r="AY179" s="7" t="s">
        <v>3</v>
      </c>
      <c r="BE179" s="8">
        <f t="shared" si="34"/>
        <v>0</v>
      </c>
      <c r="BF179" s="8">
        <f t="shared" si="35"/>
        <v>0</v>
      </c>
      <c r="BG179" s="8">
        <f t="shared" si="36"/>
        <v>0</v>
      </c>
      <c r="BH179" s="8">
        <f t="shared" si="37"/>
        <v>0</v>
      </c>
      <c r="BI179" s="8">
        <f t="shared" si="38"/>
        <v>0</v>
      </c>
      <c r="BJ179" s="7" t="s">
        <v>2</v>
      </c>
      <c r="BK179" s="8">
        <f t="shared" si="39"/>
        <v>0</v>
      </c>
      <c r="BL179" s="7" t="s">
        <v>1</v>
      </c>
      <c r="BM179" s="6" t="s">
        <v>51</v>
      </c>
    </row>
    <row r="180" spans="2:65" s="2" customFormat="1" ht="16.5" customHeight="1">
      <c r="B180" s="3"/>
      <c r="C180" s="20" t="s">
        <v>236</v>
      </c>
      <c r="D180" s="20" t="s">
        <v>4</v>
      </c>
      <c r="E180" s="19" t="s">
        <v>235</v>
      </c>
      <c r="F180" s="14" t="s">
        <v>234</v>
      </c>
      <c r="G180" s="18" t="s">
        <v>8</v>
      </c>
      <c r="H180" s="17">
        <v>1</v>
      </c>
      <c r="I180" s="16"/>
      <c r="J180" s="15">
        <f t="shared" si="30"/>
        <v>0</v>
      </c>
      <c r="K180" s="14" t="s">
        <v>7</v>
      </c>
      <c r="L180" s="3"/>
      <c r="M180" s="24" t="s">
        <v>6</v>
      </c>
      <c r="N180" s="23" t="s">
        <v>5</v>
      </c>
      <c r="P180" s="22">
        <f t="shared" si="31"/>
        <v>0</v>
      </c>
      <c r="Q180" s="22">
        <v>0</v>
      </c>
      <c r="R180" s="22">
        <f t="shared" si="32"/>
        <v>0</v>
      </c>
      <c r="S180" s="22">
        <v>0</v>
      </c>
      <c r="T180" s="21">
        <f t="shared" si="33"/>
        <v>0</v>
      </c>
      <c r="AR180" s="6" t="s">
        <v>1</v>
      </c>
      <c r="AT180" s="6" t="s">
        <v>4</v>
      </c>
      <c r="AU180" s="6" t="s">
        <v>2</v>
      </c>
      <c r="AY180" s="7" t="s">
        <v>3</v>
      </c>
      <c r="BE180" s="8">
        <f t="shared" si="34"/>
        <v>0</v>
      </c>
      <c r="BF180" s="8">
        <f t="shared" si="35"/>
        <v>0</v>
      </c>
      <c r="BG180" s="8">
        <f t="shared" si="36"/>
        <v>0</v>
      </c>
      <c r="BH180" s="8">
        <f t="shared" si="37"/>
        <v>0</v>
      </c>
      <c r="BI180" s="8">
        <f t="shared" si="38"/>
        <v>0</v>
      </c>
      <c r="BJ180" s="7" t="s">
        <v>2</v>
      </c>
      <c r="BK180" s="8">
        <f t="shared" si="39"/>
        <v>0</v>
      </c>
      <c r="BL180" s="7" t="s">
        <v>1</v>
      </c>
      <c r="BM180" s="6" t="s">
        <v>43</v>
      </c>
    </row>
    <row r="181" spans="2:65" s="2" customFormat="1" ht="16.5" customHeight="1">
      <c r="B181" s="3"/>
      <c r="C181" s="20" t="s">
        <v>233</v>
      </c>
      <c r="D181" s="20" t="s">
        <v>4</v>
      </c>
      <c r="E181" s="19" t="s">
        <v>232</v>
      </c>
      <c r="F181" s="14" t="s">
        <v>231</v>
      </c>
      <c r="G181" s="18" t="s">
        <v>8</v>
      </c>
      <c r="H181" s="17">
        <v>14</v>
      </c>
      <c r="I181" s="16"/>
      <c r="J181" s="15">
        <f t="shared" si="30"/>
        <v>0</v>
      </c>
      <c r="K181" s="14" t="s">
        <v>7</v>
      </c>
      <c r="L181" s="3"/>
      <c r="M181" s="24" t="s">
        <v>6</v>
      </c>
      <c r="N181" s="23" t="s">
        <v>5</v>
      </c>
      <c r="P181" s="22">
        <f t="shared" si="31"/>
        <v>0</v>
      </c>
      <c r="Q181" s="22">
        <v>0</v>
      </c>
      <c r="R181" s="22">
        <f t="shared" si="32"/>
        <v>0</v>
      </c>
      <c r="S181" s="22">
        <v>0</v>
      </c>
      <c r="T181" s="21">
        <f t="shared" si="33"/>
        <v>0</v>
      </c>
      <c r="AR181" s="6" t="s">
        <v>1</v>
      </c>
      <c r="AT181" s="6" t="s">
        <v>4</v>
      </c>
      <c r="AU181" s="6" t="s">
        <v>2</v>
      </c>
      <c r="AY181" s="7" t="s">
        <v>3</v>
      </c>
      <c r="BE181" s="8">
        <f t="shared" si="34"/>
        <v>0</v>
      </c>
      <c r="BF181" s="8">
        <f t="shared" si="35"/>
        <v>0</v>
      </c>
      <c r="BG181" s="8">
        <f t="shared" si="36"/>
        <v>0</v>
      </c>
      <c r="BH181" s="8">
        <f t="shared" si="37"/>
        <v>0</v>
      </c>
      <c r="BI181" s="8">
        <f t="shared" si="38"/>
        <v>0</v>
      </c>
      <c r="BJ181" s="7" t="s">
        <v>2</v>
      </c>
      <c r="BK181" s="8">
        <f t="shared" si="39"/>
        <v>0</v>
      </c>
      <c r="BL181" s="7" t="s">
        <v>1</v>
      </c>
      <c r="BM181" s="6" t="s">
        <v>37</v>
      </c>
    </row>
    <row r="182" spans="2:65" s="25" customFormat="1" ht="25.9" customHeight="1">
      <c r="B182" s="32"/>
      <c r="D182" s="27" t="s">
        <v>26</v>
      </c>
      <c r="E182" s="35" t="s">
        <v>230</v>
      </c>
      <c r="F182" s="35" t="s">
        <v>229</v>
      </c>
      <c r="I182" s="34"/>
      <c r="J182" s="33">
        <f>BK182</f>
        <v>0</v>
      </c>
      <c r="L182" s="32"/>
      <c r="M182" s="31"/>
      <c r="P182" s="30">
        <f>SUM(P183:P212)</f>
        <v>0</v>
      </c>
      <c r="R182" s="30">
        <f>SUM(R183:R212)</f>
        <v>0</v>
      </c>
      <c r="T182" s="29">
        <f>SUM(T183:T212)</f>
        <v>0</v>
      </c>
      <c r="AR182" s="27" t="s">
        <v>2</v>
      </c>
      <c r="AT182" s="28" t="s">
        <v>26</v>
      </c>
      <c r="AU182" s="28" t="s">
        <v>25</v>
      </c>
      <c r="AY182" s="27" t="s">
        <v>3</v>
      </c>
      <c r="BK182" s="26">
        <f>SUM(BK183:BK212)</f>
        <v>0</v>
      </c>
    </row>
    <row r="183" spans="2:65" s="2" customFormat="1" ht="21.75" customHeight="1">
      <c r="B183" s="3"/>
      <c r="C183" s="20" t="s">
        <v>228</v>
      </c>
      <c r="D183" s="20" t="s">
        <v>4</v>
      </c>
      <c r="E183" s="19" t="s">
        <v>227</v>
      </c>
      <c r="F183" s="14" t="s">
        <v>226</v>
      </c>
      <c r="G183" s="18" t="s">
        <v>30</v>
      </c>
      <c r="H183" s="17">
        <v>4</v>
      </c>
      <c r="I183" s="16"/>
      <c r="J183" s="15">
        <f t="shared" ref="J183:J212" si="40">ROUND(I183*H183,2)</f>
        <v>0</v>
      </c>
      <c r="K183" s="14" t="s">
        <v>7</v>
      </c>
      <c r="L183" s="3"/>
      <c r="M183" s="24" t="s">
        <v>6</v>
      </c>
      <c r="N183" s="23" t="s">
        <v>5</v>
      </c>
      <c r="P183" s="22">
        <f t="shared" ref="P183:P212" si="41">O183*H183</f>
        <v>0</v>
      </c>
      <c r="Q183" s="22">
        <v>0</v>
      </c>
      <c r="R183" s="22">
        <f t="shared" ref="R183:R212" si="42">Q183*H183</f>
        <v>0</v>
      </c>
      <c r="S183" s="22">
        <v>0</v>
      </c>
      <c r="T183" s="21">
        <f t="shared" ref="T183:T212" si="43">S183*H183</f>
        <v>0</v>
      </c>
      <c r="AR183" s="6" t="s">
        <v>1</v>
      </c>
      <c r="AT183" s="6" t="s">
        <v>4</v>
      </c>
      <c r="AU183" s="6" t="s">
        <v>2</v>
      </c>
      <c r="AY183" s="7" t="s">
        <v>3</v>
      </c>
      <c r="BE183" s="8">
        <f t="shared" ref="BE183:BE212" si="44">IF(N183="základní",J183,0)</f>
        <v>0</v>
      </c>
      <c r="BF183" s="8">
        <f t="shared" ref="BF183:BF212" si="45">IF(N183="snížená",J183,0)</f>
        <v>0</v>
      </c>
      <c r="BG183" s="8">
        <f t="shared" ref="BG183:BG212" si="46">IF(N183="zákl. přenesená",J183,0)</f>
        <v>0</v>
      </c>
      <c r="BH183" s="8">
        <f t="shared" ref="BH183:BH212" si="47">IF(N183="sníž. přenesená",J183,0)</f>
        <v>0</v>
      </c>
      <c r="BI183" s="8">
        <f t="shared" ref="BI183:BI212" si="48">IF(N183="nulová",J183,0)</f>
        <v>0</v>
      </c>
      <c r="BJ183" s="7" t="s">
        <v>2</v>
      </c>
      <c r="BK183" s="8">
        <f t="shared" ref="BK183:BK212" si="49">ROUND(I183*H183,2)</f>
        <v>0</v>
      </c>
      <c r="BL183" s="7" t="s">
        <v>1</v>
      </c>
      <c r="BM183" s="6" t="s">
        <v>24</v>
      </c>
    </row>
    <row r="184" spans="2:65" s="2" customFormat="1" ht="24.2" customHeight="1">
      <c r="B184" s="3"/>
      <c r="C184" s="20" t="s">
        <v>225</v>
      </c>
      <c r="D184" s="20" t="s">
        <v>4</v>
      </c>
      <c r="E184" s="19" t="s">
        <v>224</v>
      </c>
      <c r="F184" s="14" t="s">
        <v>223</v>
      </c>
      <c r="G184" s="18" t="s">
        <v>30</v>
      </c>
      <c r="H184" s="17">
        <v>4</v>
      </c>
      <c r="I184" s="16"/>
      <c r="J184" s="15">
        <f t="shared" si="40"/>
        <v>0</v>
      </c>
      <c r="K184" s="14" t="s">
        <v>7</v>
      </c>
      <c r="L184" s="3"/>
      <c r="M184" s="24" t="s">
        <v>6</v>
      </c>
      <c r="N184" s="23" t="s">
        <v>5</v>
      </c>
      <c r="P184" s="22">
        <f t="shared" si="41"/>
        <v>0</v>
      </c>
      <c r="Q184" s="22">
        <v>0</v>
      </c>
      <c r="R184" s="22">
        <f t="shared" si="42"/>
        <v>0</v>
      </c>
      <c r="S184" s="22">
        <v>0</v>
      </c>
      <c r="T184" s="21">
        <f t="shared" si="43"/>
        <v>0</v>
      </c>
      <c r="AR184" s="6" t="s">
        <v>1</v>
      </c>
      <c r="AT184" s="6" t="s">
        <v>4</v>
      </c>
      <c r="AU184" s="6" t="s">
        <v>2</v>
      </c>
      <c r="AY184" s="7" t="s">
        <v>3</v>
      </c>
      <c r="BE184" s="8">
        <f t="shared" si="44"/>
        <v>0</v>
      </c>
      <c r="BF184" s="8">
        <f t="shared" si="45"/>
        <v>0</v>
      </c>
      <c r="BG184" s="8">
        <f t="shared" si="46"/>
        <v>0</v>
      </c>
      <c r="BH184" s="8">
        <f t="shared" si="47"/>
        <v>0</v>
      </c>
      <c r="BI184" s="8">
        <f t="shared" si="48"/>
        <v>0</v>
      </c>
      <c r="BJ184" s="7" t="s">
        <v>2</v>
      </c>
      <c r="BK184" s="8">
        <f t="shared" si="49"/>
        <v>0</v>
      </c>
      <c r="BL184" s="7" t="s">
        <v>1</v>
      </c>
      <c r="BM184" s="6" t="s">
        <v>15</v>
      </c>
    </row>
    <row r="185" spans="2:65" s="2" customFormat="1" ht="24.2" customHeight="1">
      <c r="B185" s="3"/>
      <c r="C185" s="20" t="s">
        <v>222</v>
      </c>
      <c r="D185" s="20" t="s">
        <v>4</v>
      </c>
      <c r="E185" s="19" t="s">
        <v>221</v>
      </c>
      <c r="F185" s="14" t="s">
        <v>220</v>
      </c>
      <c r="G185" s="18" t="s">
        <v>30</v>
      </c>
      <c r="H185" s="17">
        <v>8</v>
      </c>
      <c r="I185" s="16"/>
      <c r="J185" s="15">
        <f t="shared" si="40"/>
        <v>0</v>
      </c>
      <c r="K185" s="14" t="s">
        <v>7</v>
      </c>
      <c r="L185" s="3"/>
      <c r="M185" s="24" t="s">
        <v>6</v>
      </c>
      <c r="N185" s="23" t="s">
        <v>5</v>
      </c>
      <c r="P185" s="22">
        <f t="shared" si="41"/>
        <v>0</v>
      </c>
      <c r="Q185" s="22">
        <v>0</v>
      </c>
      <c r="R185" s="22">
        <f t="shared" si="42"/>
        <v>0</v>
      </c>
      <c r="S185" s="22">
        <v>0</v>
      </c>
      <c r="T185" s="21">
        <f t="shared" si="43"/>
        <v>0</v>
      </c>
      <c r="AR185" s="6" t="s">
        <v>1</v>
      </c>
      <c r="AT185" s="6" t="s">
        <v>4</v>
      </c>
      <c r="AU185" s="6" t="s">
        <v>2</v>
      </c>
      <c r="AY185" s="7" t="s">
        <v>3</v>
      </c>
      <c r="BE185" s="8">
        <f t="shared" si="44"/>
        <v>0</v>
      </c>
      <c r="BF185" s="8">
        <f t="shared" si="45"/>
        <v>0</v>
      </c>
      <c r="BG185" s="8">
        <f t="shared" si="46"/>
        <v>0</v>
      </c>
      <c r="BH185" s="8">
        <f t="shared" si="47"/>
        <v>0</v>
      </c>
      <c r="BI185" s="8">
        <f t="shared" si="48"/>
        <v>0</v>
      </c>
      <c r="BJ185" s="7" t="s">
        <v>2</v>
      </c>
      <c r="BK185" s="8">
        <f t="shared" si="49"/>
        <v>0</v>
      </c>
      <c r="BL185" s="7" t="s">
        <v>1</v>
      </c>
      <c r="BM185" s="6" t="s">
        <v>219</v>
      </c>
    </row>
    <row r="186" spans="2:65" s="2" customFormat="1" ht="16.5" customHeight="1">
      <c r="B186" s="3"/>
      <c r="C186" s="20" t="s">
        <v>218</v>
      </c>
      <c r="D186" s="20" t="s">
        <v>4</v>
      </c>
      <c r="E186" s="19" t="s">
        <v>217</v>
      </c>
      <c r="F186" s="14" t="s">
        <v>216</v>
      </c>
      <c r="G186" s="18" t="s">
        <v>21</v>
      </c>
      <c r="H186" s="17">
        <v>10</v>
      </c>
      <c r="I186" s="16"/>
      <c r="J186" s="15">
        <f t="shared" si="40"/>
        <v>0</v>
      </c>
      <c r="K186" s="14" t="s">
        <v>7</v>
      </c>
      <c r="L186" s="3"/>
      <c r="M186" s="24" t="s">
        <v>6</v>
      </c>
      <c r="N186" s="23" t="s">
        <v>5</v>
      </c>
      <c r="P186" s="22">
        <f t="shared" si="41"/>
        <v>0</v>
      </c>
      <c r="Q186" s="22">
        <v>0</v>
      </c>
      <c r="R186" s="22">
        <f t="shared" si="42"/>
        <v>0</v>
      </c>
      <c r="S186" s="22">
        <v>0</v>
      </c>
      <c r="T186" s="21">
        <f t="shared" si="43"/>
        <v>0</v>
      </c>
      <c r="AR186" s="6" t="s">
        <v>1</v>
      </c>
      <c r="AT186" s="6" t="s">
        <v>4</v>
      </c>
      <c r="AU186" s="6" t="s">
        <v>2</v>
      </c>
      <c r="AY186" s="7" t="s">
        <v>3</v>
      </c>
      <c r="BE186" s="8">
        <f t="shared" si="44"/>
        <v>0</v>
      </c>
      <c r="BF186" s="8">
        <f t="shared" si="45"/>
        <v>0</v>
      </c>
      <c r="BG186" s="8">
        <f t="shared" si="46"/>
        <v>0</v>
      </c>
      <c r="BH186" s="8">
        <f t="shared" si="47"/>
        <v>0</v>
      </c>
      <c r="BI186" s="8">
        <f t="shared" si="48"/>
        <v>0</v>
      </c>
      <c r="BJ186" s="7" t="s">
        <v>2</v>
      </c>
      <c r="BK186" s="8">
        <f t="shared" si="49"/>
        <v>0</v>
      </c>
      <c r="BL186" s="7" t="s">
        <v>1</v>
      </c>
      <c r="BM186" s="6" t="s">
        <v>215</v>
      </c>
    </row>
    <row r="187" spans="2:65" s="2" customFormat="1" ht="16.5" customHeight="1">
      <c r="B187" s="3"/>
      <c r="C187" s="20" t="s">
        <v>214</v>
      </c>
      <c r="D187" s="20" t="s">
        <v>4</v>
      </c>
      <c r="E187" s="19" t="s">
        <v>213</v>
      </c>
      <c r="F187" s="14" t="s">
        <v>212</v>
      </c>
      <c r="G187" s="18" t="s">
        <v>21</v>
      </c>
      <c r="H187" s="17">
        <v>3</v>
      </c>
      <c r="I187" s="16"/>
      <c r="J187" s="15">
        <f t="shared" si="40"/>
        <v>0</v>
      </c>
      <c r="K187" s="14" t="s">
        <v>7</v>
      </c>
      <c r="L187" s="3"/>
      <c r="M187" s="24" t="s">
        <v>6</v>
      </c>
      <c r="N187" s="23" t="s">
        <v>5</v>
      </c>
      <c r="P187" s="22">
        <f t="shared" si="41"/>
        <v>0</v>
      </c>
      <c r="Q187" s="22">
        <v>0</v>
      </c>
      <c r="R187" s="22">
        <f t="shared" si="42"/>
        <v>0</v>
      </c>
      <c r="S187" s="22">
        <v>0</v>
      </c>
      <c r="T187" s="21">
        <f t="shared" si="43"/>
        <v>0</v>
      </c>
      <c r="AR187" s="6" t="s">
        <v>1</v>
      </c>
      <c r="AT187" s="6" t="s">
        <v>4</v>
      </c>
      <c r="AU187" s="6" t="s">
        <v>2</v>
      </c>
      <c r="AY187" s="7" t="s">
        <v>3</v>
      </c>
      <c r="BE187" s="8">
        <f t="shared" si="44"/>
        <v>0</v>
      </c>
      <c r="BF187" s="8">
        <f t="shared" si="45"/>
        <v>0</v>
      </c>
      <c r="BG187" s="8">
        <f t="shared" si="46"/>
        <v>0</v>
      </c>
      <c r="BH187" s="8">
        <f t="shared" si="47"/>
        <v>0</v>
      </c>
      <c r="BI187" s="8">
        <f t="shared" si="48"/>
        <v>0</v>
      </c>
      <c r="BJ187" s="7" t="s">
        <v>2</v>
      </c>
      <c r="BK187" s="8">
        <f t="shared" si="49"/>
        <v>0</v>
      </c>
      <c r="BL187" s="7" t="s">
        <v>1</v>
      </c>
      <c r="BM187" s="6" t="s">
        <v>211</v>
      </c>
    </row>
    <row r="188" spans="2:65" s="2" customFormat="1" ht="16.5" customHeight="1">
      <c r="B188" s="3"/>
      <c r="C188" s="20" t="s">
        <v>210</v>
      </c>
      <c r="D188" s="20" t="s">
        <v>4</v>
      </c>
      <c r="E188" s="19" t="s">
        <v>209</v>
      </c>
      <c r="F188" s="14" t="s">
        <v>208</v>
      </c>
      <c r="G188" s="18" t="s">
        <v>30</v>
      </c>
      <c r="H188" s="17">
        <v>2</v>
      </c>
      <c r="I188" s="16"/>
      <c r="J188" s="15">
        <f t="shared" si="40"/>
        <v>0</v>
      </c>
      <c r="K188" s="14" t="s">
        <v>7</v>
      </c>
      <c r="L188" s="3"/>
      <c r="M188" s="24" t="s">
        <v>6</v>
      </c>
      <c r="N188" s="23" t="s">
        <v>5</v>
      </c>
      <c r="P188" s="22">
        <f t="shared" si="41"/>
        <v>0</v>
      </c>
      <c r="Q188" s="22">
        <v>0</v>
      </c>
      <c r="R188" s="22">
        <f t="shared" si="42"/>
        <v>0</v>
      </c>
      <c r="S188" s="22">
        <v>0</v>
      </c>
      <c r="T188" s="21">
        <f t="shared" si="43"/>
        <v>0</v>
      </c>
      <c r="AR188" s="6" t="s">
        <v>1</v>
      </c>
      <c r="AT188" s="6" t="s">
        <v>4</v>
      </c>
      <c r="AU188" s="6" t="s">
        <v>2</v>
      </c>
      <c r="AY188" s="7" t="s">
        <v>3</v>
      </c>
      <c r="BE188" s="8">
        <f t="shared" si="44"/>
        <v>0</v>
      </c>
      <c r="BF188" s="8">
        <f t="shared" si="45"/>
        <v>0</v>
      </c>
      <c r="BG188" s="8">
        <f t="shared" si="46"/>
        <v>0</v>
      </c>
      <c r="BH188" s="8">
        <f t="shared" si="47"/>
        <v>0</v>
      </c>
      <c r="BI188" s="8">
        <f t="shared" si="48"/>
        <v>0</v>
      </c>
      <c r="BJ188" s="7" t="s">
        <v>2</v>
      </c>
      <c r="BK188" s="8">
        <f t="shared" si="49"/>
        <v>0</v>
      </c>
      <c r="BL188" s="7" t="s">
        <v>1</v>
      </c>
      <c r="BM188" s="6" t="s">
        <v>207</v>
      </c>
    </row>
    <row r="189" spans="2:65" s="2" customFormat="1" ht="24.2" customHeight="1">
      <c r="B189" s="3"/>
      <c r="C189" s="20" t="s">
        <v>206</v>
      </c>
      <c r="D189" s="20" t="s">
        <v>4</v>
      </c>
      <c r="E189" s="19" t="s">
        <v>205</v>
      </c>
      <c r="F189" s="14" t="s">
        <v>99</v>
      </c>
      <c r="G189" s="18" t="s">
        <v>21</v>
      </c>
      <c r="H189" s="17">
        <v>25</v>
      </c>
      <c r="I189" s="16"/>
      <c r="J189" s="15">
        <f t="shared" si="40"/>
        <v>0</v>
      </c>
      <c r="K189" s="14" t="s">
        <v>7</v>
      </c>
      <c r="L189" s="3"/>
      <c r="M189" s="24" t="s">
        <v>6</v>
      </c>
      <c r="N189" s="23" t="s">
        <v>5</v>
      </c>
      <c r="P189" s="22">
        <f t="shared" si="41"/>
        <v>0</v>
      </c>
      <c r="Q189" s="22">
        <v>0</v>
      </c>
      <c r="R189" s="22">
        <f t="shared" si="42"/>
        <v>0</v>
      </c>
      <c r="S189" s="22">
        <v>0</v>
      </c>
      <c r="T189" s="21">
        <f t="shared" si="43"/>
        <v>0</v>
      </c>
      <c r="AR189" s="6" t="s">
        <v>1</v>
      </c>
      <c r="AT189" s="6" t="s">
        <v>4</v>
      </c>
      <c r="AU189" s="6" t="s">
        <v>2</v>
      </c>
      <c r="AY189" s="7" t="s">
        <v>3</v>
      </c>
      <c r="BE189" s="8">
        <f t="shared" si="44"/>
        <v>0</v>
      </c>
      <c r="BF189" s="8">
        <f t="shared" si="45"/>
        <v>0</v>
      </c>
      <c r="BG189" s="8">
        <f t="shared" si="46"/>
        <v>0</v>
      </c>
      <c r="BH189" s="8">
        <f t="shared" si="47"/>
        <v>0</v>
      </c>
      <c r="BI189" s="8">
        <f t="shared" si="48"/>
        <v>0</v>
      </c>
      <c r="BJ189" s="7" t="s">
        <v>2</v>
      </c>
      <c r="BK189" s="8">
        <f t="shared" si="49"/>
        <v>0</v>
      </c>
      <c r="BL189" s="7" t="s">
        <v>1</v>
      </c>
      <c r="BM189" s="6" t="s">
        <v>204</v>
      </c>
    </row>
    <row r="190" spans="2:65" s="2" customFormat="1" ht="16.5" customHeight="1">
      <c r="B190" s="3"/>
      <c r="C190" s="20" t="s">
        <v>203</v>
      </c>
      <c r="D190" s="20" t="s">
        <v>4</v>
      </c>
      <c r="E190" s="19" t="s">
        <v>202</v>
      </c>
      <c r="F190" s="14" t="s">
        <v>201</v>
      </c>
      <c r="G190" s="18" t="s">
        <v>21</v>
      </c>
      <c r="H190" s="17">
        <v>5</v>
      </c>
      <c r="I190" s="16"/>
      <c r="J190" s="15">
        <f t="shared" si="40"/>
        <v>0</v>
      </c>
      <c r="K190" s="14" t="s">
        <v>7</v>
      </c>
      <c r="L190" s="3"/>
      <c r="M190" s="24" t="s">
        <v>6</v>
      </c>
      <c r="N190" s="23" t="s">
        <v>5</v>
      </c>
      <c r="P190" s="22">
        <f t="shared" si="41"/>
        <v>0</v>
      </c>
      <c r="Q190" s="22">
        <v>0</v>
      </c>
      <c r="R190" s="22">
        <f t="shared" si="42"/>
        <v>0</v>
      </c>
      <c r="S190" s="22">
        <v>0</v>
      </c>
      <c r="T190" s="21">
        <f t="shared" si="43"/>
        <v>0</v>
      </c>
      <c r="AR190" s="6" t="s">
        <v>1</v>
      </c>
      <c r="AT190" s="6" t="s">
        <v>4</v>
      </c>
      <c r="AU190" s="6" t="s">
        <v>2</v>
      </c>
      <c r="AY190" s="7" t="s">
        <v>3</v>
      </c>
      <c r="BE190" s="8">
        <f t="shared" si="44"/>
        <v>0</v>
      </c>
      <c r="BF190" s="8">
        <f t="shared" si="45"/>
        <v>0</v>
      </c>
      <c r="BG190" s="8">
        <f t="shared" si="46"/>
        <v>0</v>
      </c>
      <c r="BH190" s="8">
        <f t="shared" si="47"/>
        <v>0</v>
      </c>
      <c r="BI190" s="8">
        <f t="shared" si="48"/>
        <v>0</v>
      </c>
      <c r="BJ190" s="7" t="s">
        <v>2</v>
      </c>
      <c r="BK190" s="8">
        <f t="shared" si="49"/>
        <v>0</v>
      </c>
      <c r="BL190" s="7" t="s">
        <v>1</v>
      </c>
      <c r="BM190" s="6" t="s">
        <v>200</v>
      </c>
    </row>
    <row r="191" spans="2:65" s="2" customFormat="1" ht="16.5" customHeight="1">
      <c r="B191" s="3"/>
      <c r="C191" s="20" t="s">
        <v>199</v>
      </c>
      <c r="D191" s="20" t="s">
        <v>4</v>
      </c>
      <c r="E191" s="19" t="s">
        <v>198</v>
      </c>
      <c r="F191" s="14" t="s">
        <v>197</v>
      </c>
      <c r="G191" s="18" t="s">
        <v>21</v>
      </c>
      <c r="H191" s="17">
        <v>40</v>
      </c>
      <c r="I191" s="16"/>
      <c r="J191" s="15">
        <f t="shared" si="40"/>
        <v>0</v>
      </c>
      <c r="K191" s="14" t="s">
        <v>7</v>
      </c>
      <c r="L191" s="3"/>
      <c r="M191" s="24" t="s">
        <v>6</v>
      </c>
      <c r="N191" s="23" t="s">
        <v>5</v>
      </c>
      <c r="P191" s="22">
        <f t="shared" si="41"/>
        <v>0</v>
      </c>
      <c r="Q191" s="22">
        <v>0</v>
      </c>
      <c r="R191" s="22">
        <f t="shared" si="42"/>
        <v>0</v>
      </c>
      <c r="S191" s="22">
        <v>0</v>
      </c>
      <c r="T191" s="21">
        <f t="shared" si="43"/>
        <v>0</v>
      </c>
      <c r="AR191" s="6" t="s">
        <v>1</v>
      </c>
      <c r="AT191" s="6" t="s">
        <v>4</v>
      </c>
      <c r="AU191" s="6" t="s">
        <v>2</v>
      </c>
      <c r="AY191" s="7" t="s">
        <v>3</v>
      </c>
      <c r="BE191" s="8">
        <f t="shared" si="44"/>
        <v>0</v>
      </c>
      <c r="BF191" s="8">
        <f t="shared" si="45"/>
        <v>0</v>
      </c>
      <c r="BG191" s="8">
        <f t="shared" si="46"/>
        <v>0</v>
      </c>
      <c r="BH191" s="8">
        <f t="shared" si="47"/>
        <v>0</v>
      </c>
      <c r="BI191" s="8">
        <f t="shared" si="48"/>
        <v>0</v>
      </c>
      <c r="BJ191" s="7" t="s">
        <v>2</v>
      </c>
      <c r="BK191" s="8">
        <f t="shared" si="49"/>
        <v>0</v>
      </c>
      <c r="BL191" s="7" t="s">
        <v>1</v>
      </c>
      <c r="BM191" s="6" t="s">
        <v>196</v>
      </c>
    </row>
    <row r="192" spans="2:65" s="2" customFormat="1" ht="16.5" customHeight="1">
      <c r="B192" s="3"/>
      <c r="C192" s="20" t="s">
        <v>195</v>
      </c>
      <c r="D192" s="20" t="s">
        <v>4</v>
      </c>
      <c r="E192" s="19" t="s">
        <v>194</v>
      </c>
      <c r="F192" s="14" t="s">
        <v>193</v>
      </c>
      <c r="G192" s="18" t="s">
        <v>21</v>
      </c>
      <c r="H192" s="17">
        <v>15</v>
      </c>
      <c r="I192" s="16"/>
      <c r="J192" s="15">
        <f t="shared" si="40"/>
        <v>0</v>
      </c>
      <c r="K192" s="14" t="s">
        <v>7</v>
      </c>
      <c r="L192" s="3"/>
      <c r="M192" s="24" t="s">
        <v>6</v>
      </c>
      <c r="N192" s="23" t="s">
        <v>5</v>
      </c>
      <c r="P192" s="22">
        <f t="shared" si="41"/>
        <v>0</v>
      </c>
      <c r="Q192" s="22">
        <v>0</v>
      </c>
      <c r="R192" s="22">
        <f t="shared" si="42"/>
        <v>0</v>
      </c>
      <c r="S192" s="22">
        <v>0</v>
      </c>
      <c r="T192" s="21">
        <f t="shared" si="43"/>
        <v>0</v>
      </c>
      <c r="AR192" s="6" t="s">
        <v>1</v>
      </c>
      <c r="AT192" s="6" t="s">
        <v>4</v>
      </c>
      <c r="AU192" s="6" t="s">
        <v>2</v>
      </c>
      <c r="AY192" s="7" t="s">
        <v>3</v>
      </c>
      <c r="BE192" s="8">
        <f t="shared" si="44"/>
        <v>0</v>
      </c>
      <c r="BF192" s="8">
        <f t="shared" si="45"/>
        <v>0</v>
      </c>
      <c r="BG192" s="8">
        <f t="shared" si="46"/>
        <v>0</v>
      </c>
      <c r="BH192" s="8">
        <f t="shared" si="47"/>
        <v>0</v>
      </c>
      <c r="BI192" s="8">
        <f t="shared" si="48"/>
        <v>0</v>
      </c>
      <c r="BJ192" s="7" t="s">
        <v>2</v>
      </c>
      <c r="BK192" s="8">
        <f t="shared" si="49"/>
        <v>0</v>
      </c>
      <c r="BL192" s="7" t="s">
        <v>1</v>
      </c>
      <c r="BM192" s="6" t="s">
        <v>192</v>
      </c>
    </row>
    <row r="193" spans="2:65" s="2" customFormat="1" ht="21.75" customHeight="1">
      <c r="B193" s="3"/>
      <c r="C193" s="20" t="s">
        <v>191</v>
      </c>
      <c r="D193" s="20" t="s">
        <v>4</v>
      </c>
      <c r="E193" s="19" t="s">
        <v>190</v>
      </c>
      <c r="F193" s="14" t="s">
        <v>189</v>
      </c>
      <c r="G193" s="18" t="s">
        <v>30</v>
      </c>
      <c r="H193" s="17">
        <v>4</v>
      </c>
      <c r="I193" s="16"/>
      <c r="J193" s="15">
        <f t="shared" si="40"/>
        <v>0</v>
      </c>
      <c r="K193" s="14" t="s">
        <v>7</v>
      </c>
      <c r="L193" s="3"/>
      <c r="M193" s="24" t="s">
        <v>6</v>
      </c>
      <c r="N193" s="23" t="s">
        <v>5</v>
      </c>
      <c r="P193" s="22">
        <f t="shared" si="41"/>
        <v>0</v>
      </c>
      <c r="Q193" s="22">
        <v>0</v>
      </c>
      <c r="R193" s="22">
        <f t="shared" si="42"/>
        <v>0</v>
      </c>
      <c r="S193" s="22">
        <v>0</v>
      </c>
      <c r="T193" s="21">
        <f t="shared" si="43"/>
        <v>0</v>
      </c>
      <c r="AR193" s="6" t="s">
        <v>1</v>
      </c>
      <c r="AT193" s="6" t="s">
        <v>4</v>
      </c>
      <c r="AU193" s="6" t="s">
        <v>2</v>
      </c>
      <c r="AY193" s="7" t="s">
        <v>3</v>
      </c>
      <c r="BE193" s="8">
        <f t="shared" si="44"/>
        <v>0</v>
      </c>
      <c r="BF193" s="8">
        <f t="shared" si="45"/>
        <v>0</v>
      </c>
      <c r="BG193" s="8">
        <f t="shared" si="46"/>
        <v>0</v>
      </c>
      <c r="BH193" s="8">
        <f t="shared" si="47"/>
        <v>0</v>
      </c>
      <c r="BI193" s="8">
        <f t="shared" si="48"/>
        <v>0</v>
      </c>
      <c r="BJ193" s="7" t="s">
        <v>2</v>
      </c>
      <c r="BK193" s="8">
        <f t="shared" si="49"/>
        <v>0</v>
      </c>
      <c r="BL193" s="7" t="s">
        <v>1</v>
      </c>
      <c r="BM193" s="6" t="s">
        <v>188</v>
      </c>
    </row>
    <row r="194" spans="2:65" s="2" customFormat="1" ht="24.2" customHeight="1">
      <c r="B194" s="3"/>
      <c r="C194" s="20" t="s">
        <v>187</v>
      </c>
      <c r="D194" s="20" t="s">
        <v>4</v>
      </c>
      <c r="E194" s="19" t="s">
        <v>186</v>
      </c>
      <c r="F194" s="14" t="s">
        <v>185</v>
      </c>
      <c r="G194" s="18" t="s">
        <v>30</v>
      </c>
      <c r="H194" s="17">
        <v>4</v>
      </c>
      <c r="I194" s="16"/>
      <c r="J194" s="15">
        <f t="shared" si="40"/>
        <v>0</v>
      </c>
      <c r="K194" s="14" t="s">
        <v>7</v>
      </c>
      <c r="L194" s="3"/>
      <c r="M194" s="24" t="s">
        <v>6</v>
      </c>
      <c r="N194" s="23" t="s">
        <v>5</v>
      </c>
      <c r="P194" s="22">
        <f t="shared" si="41"/>
        <v>0</v>
      </c>
      <c r="Q194" s="22">
        <v>0</v>
      </c>
      <c r="R194" s="22">
        <f t="shared" si="42"/>
        <v>0</v>
      </c>
      <c r="S194" s="22">
        <v>0</v>
      </c>
      <c r="T194" s="21">
        <f t="shared" si="43"/>
        <v>0</v>
      </c>
      <c r="AR194" s="6" t="s">
        <v>1</v>
      </c>
      <c r="AT194" s="6" t="s">
        <v>4</v>
      </c>
      <c r="AU194" s="6" t="s">
        <v>2</v>
      </c>
      <c r="AY194" s="7" t="s">
        <v>3</v>
      </c>
      <c r="BE194" s="8">
        <f t="shared" si="44"/>
        <v>0</v>
      </c>
      <c r="BF194" s="8">
        <f t="shared" si="45"/>
        <v>0</v>
      </c>
      <c r="BG194" s="8">
        <f t="shared" si="46"/>
        <v>0</v>
      </c>
      <c r="BH194" s="8">
        <f t="shared" si="47"/>
        <v>0</v>
      </c>
      <c r="BI194" s="8">
        <f t="shared" si="48"/>
        <v>0</v>
      </c>
      <c r="BJ194" s="7" t="s">
        <v>2</v>
      </c>
      <c r="BK194" s="8">
        <f t="shared" si="49"/>
        <v>0</v>
      </c>
      <c r="BL194" s="7" t="s">
        <v>1</v>
      </c>
      <c r="BM194" s="6" t="s">
        <v>184</v>
      </c>
    </row>
    <row r="195" spans="2:65" s="2" customFormat="1" ht="21.75" customHeight="1">
      <c r="B195" s="3"/>
      <c r="C195" s="20" t="s">
        <v>183</v>
      </c>
      <c r="D195" s="20" t="s">
        <v>4</v>
      </c>
      <c r="E195" s="19" t="s">
        <v>182</v>
      </c>
      <c r="F195" s="14" t="s">
        <v>181</v>
      </c>
      <c r="G195" s="18" t="s">
        <v>30</v>
      </c>
      <c r="H195" s="17">
        <v>3</v>
      </c>
      <c r="I195" s="16"/>
      <c r="J195" s="15">
        <f t="shared" si="40"/>
        <v>0</v>
      </c>
      <c r="K195" s="14" t="s">
        <v>7</v>
      </c>
      <c r="L195" s="3"/>
      <c r="M195" s="24" t="s">
        <v>6</v>
      </c>
      <c r="N195" s="23" t="s">
        <v>5</v>
      </c>
      <c r="P195" s="22">
        <f t="shared" si="41"/>
        <v>0</v>
      </c>
      <c r="Q195" s="22">
        <v>0</v>
      </c>
      <c r="R195" s="22">
        <f t="shared" si="42"/>
        <v>0</v>
      </c>
      <c r="S195" s="22">
        <v>0</v>
      </c>
      <c r="T195" s="21">
        <f t="shared" si="43"/>
        <v>0</v>
      </c>
      <c r="AR195" s="6" t="s">
        <v>1</v>
      </c>
      <c r="AT195" s="6" t="s">
        <v>4</v>
      </c>
      <c r="AU195" s="6" t="s">
        <v>2</v>
      </c>
      <c r="AY195" s="7" t="s">
        <v>3</v>
      </c>
      <c r="BE195" s="8">
        <f t="shared" si="44"/>
        <v>0</v>
      </c>
      <c r="BF195" s="8">
        <f t="shared" si="45"/>
        <v>0</v>
      </c>
      <c r="BG195" s="8">
        <f t="shared" si="46"/>
        <v>0</v>
      </c>
      <c r="BH195" s="8">
        <f t="shared" si="47"/>
        <v>0</v>
      </c>
      <c r="BI195" s="8">
        <f t="shared" si="48"/>
        <v>0</v>
      </c>
      <c r="BJ195" s="7" t="s">
        <v>2</v>
      </c>
      <c r="BK195" s="8">
        <f t="shared" si="49"/>
        <v>0</v>
      </c>
      <c r="BL195" s="7" t="s">
        <v>1</v>
      </c>
      <c r="BM195" s="6" t="s">
        <v>180</v>
      </c>
    </row>
    <row r="196" spans="2:65" s="2" customFormat="1" ht="24.2" customHeight="1">
      <c r="B196" s="3"/>
      <c r="C196" s="20" t="s">
        <v>179</v>
      </c>
      <c r="D196" s="20" t="s">
        <v>4</v>
      </c>
      <c r="E196" s="19" t="s">
        <v>178</v>
      </c>
      <c r="F196" s="14" t="s">
        <v>83</v>
      </c>
      <c r="G196" s="18" t="s">
        <v>8</v>
      </c>
      <c r="H196" s="17">
        <v>9</v>
      </c>
      <c r="I196" s="16"/>
      <c r="J196" s="15">
        <f t="shared" si="40"/>
        <v>0</v>
      </c>
      <c r="K196" s="14" t="s">
        <v>7</v>
      </c>
      <c r="L196" s="3"/>
      <c r="M196" s="24" t="s">
        <v>6</v>
      </c>
      <c r="N196" s="23" t="s">
        <v>5</v>
      </c>
      <c r="P196" s="22">
        <f t="shared" si="41"/>
        <v>0</v>
      </c>
      <c r="Q196" s="22">
        <v>0</v>
      </c>
      <c r="R196" s="22">
        <f t="shared" si="42"/>
        <v>0</v>
      </c>
      <c r="S196" s="22">
        <v>0</v>
      </c>
      <c r="T196" s="21">
        <f t="shared" si="43"/>
        <v>0</v>
      </c>
      <c r="AR196" s="6" t="s">
        <v>1</v>
      </c>
      <c r="AT196" s="6" t="s">
        <v>4</v>
      </c>
      <c r="AU196" s="6" t="s">
        <v>2</v>
      </c>
      <c r="AY196" s="7" t="s">
        <v>3</v>
      </c>
      <c r="BE196" s="8">
        <f t="shared" si="44"/>
        <v>0</v>
      </c>
      <c r="BF196" s="8">
        <f t="shared" si="45"/>
        <v>0</v>
      </c>
      <c r="BG196" s="8">
        <f t="shared" si="46"/>
        <v>0</v>
      </c>
      <c r="BH196" s="8">
        <f t="shared" si="47"/>
        <v>0</v>
      </c>
      <c r="BI196" s="8">
        <f t="shared" si="48"/>
        <v>0</v>
      </c>
      <c r="BJ196" s="7" t="s">
        <v>2</v>
      </c>
      <c r="BK196" s="8">
        <f t="shared" si="49"/>
        <v>0</v>
      </c>
      <c r="BL196" s="7" t="s">
        <v>1</v>
      </c>
      <c r="BM196" s="6" t="s">
        <v>177</v>
      </c>
    </row>
    <row r="197" spans="2:65" s="2" customFormat="1" ht="16.5" customHeight="1">
      <c r="B197" s="3"/>
      <c r="C197" s="20" t="s">
        <v>176</v>
      </c>
      <c r="D197" s="20" t="s">
        <v>4</v>
      </c>
      <c r="E197" s="19" t="s">
        <v>175</v>
      </c>
      <c r="F197" s="14" t="s">
        <v>79</v>
      </c>
      <c r="G197" s="18" t="s">
        <v>8</v>
      </c>
      <c r="H197" s="17">
        <v>45</v>
      </c>
      <c r="I197" s="16"/>
      <c r="J197" s="15">
        <f t="shared" si="40"/>
        <v>0</v>
      </c>
      <c r="K197" s="14" t="s">
        <v>7</v>
      </c>
      <c r="L197" s="3"/>
      <c r="M197" s="24" t="s">
        <v>6</v>
      </c>
      <c r="N197" s="23" t="s">
        <v>5</v>
      </c>
      <c r="P197" s="22">
        <f t="shared" si="41"/>
        <v>0</v>
      </c>
      <c r="Q197" s="22">
        <v>0</v>
      </c>
      <c r="R197" s="22">
        <f t="shared" si="42"/>
        <v>0</v>
      </c>
      <c r="S197" s="22">
        <v>0</v>
      </c>
      <c r="T197" s="21">
        <f t="shared" si="43"/>
        <v>0</v>
      </c>
      <c r="AR197" s="6" t="s">
        <v>1</v>
      </c>
      <c r="AT197" s="6" t="s">
        <v>4</v>
      </c>
      <c r="AU197" s="6" t="s">
        <v>2</v>
      </c>
      <c r="AY197" s="7" t="s">
        <v>3</v>
      </c>
      <c r="BE197" s="8">
        <f t="shared" si="44"/>
        <v>0</v>
      </c>
      <c r="BF197" s="8">
        <f t="shared" si="45"/>
        <v>0</v>
      </c>
      <c r="BG197" s="8">
        <f t="shared" si="46"/>
        <v>0</v>
      </c>
      <c r="BH197" s="8">
        <f t="shared" si="47"/>
        <v>0</v>
      </c>
      <c r="BI197" s="8">
        <f t="shared" si="48"/>
        <v>0</v>
      </c>
      <c r="BJ197" s="7" t="s">
        <v>2</v>
      </c>
      <c r="BK197" s="8">
        <f t="shared" si="49"/>
        <v>0</v>
      </c>
      <c r="BL197" s="7" t="s">
        <v>1</v>
      </c>
      <c r="BM197" s="6" t="s">
        <v>174</v>
      </c>
    </row>
    <row r="198" spans="2:65" s="2" customFormat="1" ht="16.5" customHeight="1">
      <c r="B198" s="3"/>
      <c r="C198" s="20" t="s">
        <v>173</v>
      </c>
      <c r="D198" s="20" t="s">
        <v>4</v>
      </c>
      <c r="E198" s="19" t="s">
        <v>172</v>
      </c>
      <c r="F198" s="14" t="s">
        <v>171</v>
      </c>
      <c r="G198" s="18" t="s">
        <v>21</v>
      </c>
      <c r="H198" s="17">
        <v>30</v>
      </c>
      <c r="I198" s="16"/>
      <c r="J198" s="15">
        <f t="shared" si="40"/>
        <v>0</v>
      </c>
      <c r="K198" s="14" t="s">
        <v>7</v>
      </c>
      <c r="L198" s="3"/>
      <c r="M198" s="24" t="s">
        <v>6</v>
      </c>
      <c r="N198" s="23" t="s">
        <v>5</v>
      </c>
      <c r="P198" s="22">
        <f t="shared" si="41"/>
        <v>0</v>
      </c>
      <c r="Q198" s="22">
        <v>0</v>
      </c>
      <c r="R198" s="22">
        <f t="shared" si="42"/>
        <v>0</v>
      </c>
      <c r="S198" s="22">
        <v>0</v>
      </c>
      <c r="T198" s="21">
        <f t="shared" si="43"/>
        <v>0</v>
      </c>
      <c r="AR198" s="6" t="s">
        <v>1</v>
      </c>
      <c r="AT198" s="6" t="s">
        <v>4</v>
      </c>
      <c r="AU198" s="6" t="s">
        <v>2</v>
      </c>
      <c r="AY198" s="7" t="s">
        <v>3</v>
      </c>
      <c r="BE198" s="8">
        <f t="shared" si="44"/>
        <v>0</v>
      </c>
      <c r="BF198" s="8">
        <f t="shared" si="45"/>
        <v>0</v>
      </c>
      <c r="BG198" s="8">
        <f t="shared" si="46"/>
        <v>0</v>
      </c>
      <c r="BH198" s="8">
        <f t="shared" si="47"/>
        <v>0</v>
      </c>
      <c r="BI198" s="8">
        <f t="shared" si="48"/>
        <v>0</v>
      </c>
      <c r="BJ198" s="7" t="s">
        <v>2</v>
      </c>
      <c r="BK198" s="8">
        <f t="shared" si="49"/>
        <v>0</v>
      </c>
      <c r="BL198" s="7" t="s">
        <v>1</v>
      </c>
      <c r="BM198" s="6" t="s">
        <v>170</v>
      </c>
    </row>
    <row r="199" spans="2:65" s="2" customFormat="1" ht="16.5" customHeight="1">
      <c r="B199" s="3"/>
      <c r="C199" s="20" t="s">
        <v>169</v>
      </c>
      <c r="D199" s="20" t="s">
        <v>4</v>
      </c>
      <c r="E199" s="19" t="s">
        <v>168</v>
      </c>
      <c r="F199" s="14" t="s">
        <v>71</v>
      </c>
      <c r="G199" s="18" t="s">
        <v>8</v>
      </c>
      <c r="H199" s="17">
        <v>6</v>
      </c>
      <c r="I199" s="16"/>
      <c r="J199" s="15">
        <f t="shared" si="40"/>
        <v>0</v>
      </c>
      <c r="K199" s="14" t="s">
        <v>7</v>
      </c>
      <c r="L199" s="3"/>
      <c r="M199" s="24" t="s">
        <v>6</v>
      </c>
      <c r="N199" s="23" t="s">
        <v>5</v>
      </c>
      <c r="P199" s="22">
        <f t="shared" si="41"/>
        <v>0</v>
      </c>
      <c r="Q199" s="22">
        <v>0</v>
      </c>
      <c r="R199" s="22">
        <f t="shared" si="42"/>
        <v>0</v>
      </c>
      <c r="S199" s="22">
        <v>0</v>
      </c>
      <c r="T199" s="21">
        <f t="shared" si="43"/>
        <v>0</v>
      </c>
      <c r="AR199" s="6" t="s">
        <v>1</v>
      </c>
      <c r="AT199" s="6" t="s">
        <v>4</v>
      </c>
      <c r="AU199" s="6" t="s">
        <v>2</v>
      </c>
      <c r="AY199" s="7" t="s">
        <v>3</v>
      </c>
      <c r="BE199" s="8">
        <f t="shared" si="44"/>
        <v>0</v>
      </c>
      <c r="BF199" s="8">
        <f t="shared" si="45"/>
        <v>0</v>
      </c>
      <c r="BG199" s="8">
        <f t="shared" si="46"/>
        <v>0</v>
      </c>
      <c r="BH199" s="8">
        <f t="shared" si="47"/>
        <v>0</v>
      </c>
      <c r="BI199" s="8">
        <f t="shared" si="48"/>
        <v>0</v>
      </c>
      <c r="BJ199" s="7" t="s">
        <v>2</v>
      </c>
      <c r="BK199" s="8">
        <f t="shared" si="49"/>
        <v>0</v>
      </c>
      <c r="BL199" s="7" t="s">
        <v>1</v>
      </c>
      <c r="BM199" s="6" t="s">
        <v>167</v>
      </c>
    </row>
    <row r="200" spans="2:65" s="2" customFormat="1" ht="16.5" customHeight="1">
      <c r="B200" s="3"/>
      <c r="C200" s="20" t="s">
        <v>166</v>
      </c>
      <c r="D200" s="20" t="s">
        <v>4</v>
      </c>
      <c r="E200" s="19" t="s">
        <v>165</v>
      </c>
      <c r="F200" s="14" t="s">
        <v>67</v>
      </c>
      <c r="G200" s="18" t="s">
        <v>8</v>
      </c>
      <c r="H200" s="17">
        <v>3</v>
      </c>
      <c r="I200" s="16"/>
      <c r="J200" s="15">
        <f t="shared" si="40"/>
        <v>0</v>
      </c>
      <c r="K200" s="14" t="s">
        <v>7</v>
      </c>
      <c r="L200" s="3"/>
      <c r="M200" s="24" t="s">
        <v>6</v>
      </c>
      <c r="N200" s="23" t="s">
        <v>5</v>
      </c>
      <c r="P200" s="22">
        <f t="shared" si="41"/>
        <v>0</v>
      </c>
      <c r="Q200" s="22">
        <v>0</v>
      </c>
      <c r="R200" s="22">
        <f t="shared" si="42"/>
        <v>0</v>
      </c>
      <c r="S200" s="22">
        <v>0</v>
      </c>
      <c r="T200" s="21">
        <f t="shared" si="43"/>
        <v>0</v>
      </c>
      <c r="AR200" s="6" t="s">
        <v>1</v>
      </c>
      <c r="AT200" s="6" t="s">
        <v>4</v>
      </c>
      <c r="AU200" s="6" t="s">
        <v>2</v>
      </c>
      <c r="AY200" s="7" t="s">
        <v>3</v>
      </c>
      <c r="BE200" s="8">
        <f t="shared" si="44"/>
        <v>0</v>
      </c>
      <c r="BF200" s="8">
        <f t="shared" si="45"/>
        <v>0</v>
      </c>
      <c r="BG200" s="8">
        <f t="shared" si="46"/>
        <v>0</v>
      </c>
      <c r="BH200" s="8">
        <f t="shared" si="47"/>
        <v>0</v>
      </c>
      <c r="BI200" s="8">
        <f t="shared" si="48"/>
        <v>0</v>
      </c>
      <c r="BJ200" s="7" t="s">
        <v>2</v>
      </c>
      <c r="BK200" s="8">
        <f t="shared" si="49"/>
        <v>0</v>
      </c>
      <c r="BL200" s="7" t="s">
        <v>1</v>
      </c>
      <c r="BM200" s="6" t="s">
        <v>164</v>
      </c>
    </row>
    <row r="201" spans="2:65" s="2" customFormat="1" ht="21.75" customHeight="1">
      <c r="B201" s="3"/>
      <c r="C201" s="20" t="s">
        <v>163</v>
      </c>
      <c r="D201" s="20" t="s">
        <v>4</v>
      </c>
      <c r="E201" s="19" t="s">
        <v>162</v>
      </c>
      <c r="F201" s="14" t="s">
        <v>161</v>
      </c>
      <c r="G201" s="18" t="s">
        <v>30</v>
      </c>
      <c r="H201" s="17">
        <v>4</v>
      </c>
      <c r="I201" s="16"/>
      <c r="J201" s="15">
        <f t="shared" si="40"/>
        <v>0</v>
      </c>
      <c r="K201" s="14" t="s">
        <v>7</v>
      </c>
      <c r="L201" s="3"/>
      <c r="M201" s="24" t="s">
        <v>6</v>
      </c>
      <c r="N201" s="23" t="s">
        <v>5</v>
      </c>
      <c r="P201" s="22">
        <f t="shared" si="41"/>
        <v>0</v>
      </c>
      <c r="Q201" s="22">
        <v>0</v>
      </c>
      <c r="R201" s="22">
        <f t="shared" si="42"/>
        <v>0</v>
      </c>
      <c r="S201" s="22">
        <v>0</v>
      </c>
      <c r="T201" s="21">
        <f t="shared" si="43"/>
        <v>0</v>
      </c>
      <c r="AR201" s="6" t="s">
        <v>1</v>
      </c>
      <c r="AT201" s="6" t="s">
        <v>4</v>
      </c>
      <c r="AU201" s="6" t="s">
        <v>2</v>
      </c>
      <c r="AY201" s="7" t="s">
        <v>3</v>
      </c>
      <c r="BE201" s="8">
        <f t="shared" si="44"/>
        <v>0</v>
      </c>
      <c r="BF201" s="8">
        <f t="shared" si="45"/>
        <v>0</v>
      </c>
      <c r="BG201" s="8">
        <f t="shared" si="46"/>
        <v>0</v>
      </c>
      <c r="BH201" s="8">
        <f t="shared" si="47"/>
        <v>0</v>
      </c>
      <c r="BI201" s="8">
        <f t="shared" si="48"/>
        <v>0</v>
      </c>
      <c r="BJ201" s="7" t="s">
        <v>2</v>
      </c>
      <c r="BK201" s="8">
        <f t="shared" si="49"/>
        <v>0</v>
      </c>
      <c r="BL201" s="7" t="s">
        <v>1</v>
      </c>
      <c r="BM201" s="6" t="s">
        <v>160</v>
      </c>
    </row>
    <row r="202" spans="2:65" s="2" customFormat="1" ht="24.2" customHeight="1">
      <c r="B202" s="3"/>
      <c r="C202" s="20" t="s">
        <v>159</v>
      </c>
      <c r="D202" s="20" t="s">
        <v>4</v>
      </c>
      <c r="E202" s="19" t="s">
        <v>158</v>
      </c>
      <c r="F202" s="14" t="s">
        <v>157</v>
      </c>
      <c r="G202" s="18" t="s">
        <v>30</v>
      </c>
      <c r="H202" s="17">
        <v>4</v>
      </c>
      <c r="I202" s="16"/>
      <c r="J202" s="15">
        <f t="shared" si="40"/>
        <v>0</v>
      </c>
      <c r="K202" s="14" t="s">
        <v>7</v>
      </c>
      <c r="L202" s="3"/>
      <c r="M202" s="24" t="s">
        <v>6</v>
      </c>
      <c r="N202" s="23" t="s">
        <v>5</v>
      </c>
      <c r="P202" s="22">
        <f t="shared" si="41"/>
        <v>0</v>
      </c>
      <c r="Q202" s="22">
        <v>0</v>
      </c>
      <c r="R202" s="22">
        <f t="shared" si="42"/>
        <v>0</v>
      </c>
      <c r="S202" s="22">
        <v>0</v>
      </c>
      <c r="T202" s="21">
        <f t="shared" si="43"/>
        <v>0</v>
      </c>
      <c r="AR202" s="6" t="s">
        <v>1</v>
      </c>
      <c r="AT202" s="6" t="s">
        <v>4</v>
      </c>
      <c r="AU202" s="6" t="s">
        <v>2</v>
      </c>
      <c r="AY202" s="7" t="s">
        <v>3</v>
      </c>
      <c r="BE202" s="8">
        <f t="shared" si="44"/>
        <v>0</v>
      </c>
      <c r="BF202" s="8">
        <f t="shared" si="45"/>
        <v>0</v>
      </c>
      <c r="BG202" s="8">
        <f t="shared" si="46"/>
        <v>0</v>
      </c>
      <c r="BH202" s="8">
        <f t="shared" si="47"/>
        <v>0</v>
      </c>
      <c r="BI202" s="8">
        <f t="shared" si="48"/>
        <v>0</v>
      </c>
      <c r="BJ202" s="7" t="s">
        <v>2</v>
      </c>
      <c r="BK202" s="8">
        <f t="shared" si="49"/>
        <v>0</v>
      </c>
      <c r="BL202" s="7" t="s">
        <v>1</v>
      </c>
      <c r="BM202" s="6" t="s">
        <v>156</v>
      </c>
    </row>
    <row r="203" spans="2:65" s="2" customFormat="1" ht="24.2" customHeight="1">
      <c r="B203" s="3"/>
      <c r="C203" s="20" t="s">
        <v>155</v>
      </c>
      <c r="D203" s="20" t="s">
        <v>4</v>
      </c>
      <c r="E203" s="19" t="s">
        <v>154</v>
      </c>
      <c r="F203" s="14" t="s">
        <v>153</v>
      </c>
      <c r="G203" s="18" t="s">
        <v>30</v>
      </c>
      <c r="H203" s="17">
        <v>5</v>
      </c>
      <c r="I203" s="16"/>
      <c r="J203" s="15">
        <f t="shared" si="40"/>
        <v>0</v>
      </c>
      <c r="K203" s="14" t="s">
        <v>7</v>
      </c>
      <c r="L203" s="3"/>
      <c r="M203" s="24" t="s">
        <v>6</v>
      </c>
      <c r="N203" s="23" t="s">
        <v>5</v>
      </c>
      <c r="P203" s="22">
        <f t="shared" si="41"/>
        <v>0</v>
      </c>
      <c r="Q203" s="22">
        <v>0</v>
      </c>
      <c r="R203" s="22">
        <f t="shared" si="42"/>
        <v>0</v>
      </c>
      <c r="S203" s="22">
        <v>0</v>
      </c>
      <c r="T203" s="21">
        <f t="shared" si="43"/>
        <v>0</v>
      </c>
      <c r="AR203" s="6" t="s">
        <v>1</v>
      </c>
      <c r="AT203" s="6" t="s">
        <v>4</v>
      </c>
      <c r="AU203" s="6" t="s">
        <v>2</v>
      </c>
      <c r="AY203" s="7" t="s">
        <v>3</v>
      </c>
      <c r="BE203" s="8">
        <f t="shared" si="44"/>
        <v>0</v>
      </c>
      <c r="BF203" s="8">
        <f t="shared" si="45"/>
        <v>0</v>
      </c>
      <c r="BG203" s="8">
        <f t="shared" si="46"/>
        <v>0</v>
      </c>
      <c r="BH203" s="8">
        <f t="shared" si="47"/>
        <v>0</v>
      </c>
      <c r="BI203" s="8">
        <f t="shared" si="48"/>
        <v>0</v>
      </c>
      <c r="BJ203" s="7" t="s">
        <v>2</v>
      </c>
      <c r="BK203" s="8">
        <f t="shared" si="49"/>
        <v>0</v>
      </c>
      <c r="BL203" s="7" t="s">
        <v>1</v>
      </c>
      <c r="BM203" s="6" t="s">
        <v>152</v>
      </c>
    </row>
    <row r="204" spans="2:65" s="2" customFormat="1" ht="24.2" customHeight="1">
      <c r="B204" s="3"/>
      <c r="C204" s="20" t="s">
        <v>151</v>
      </c>
      <c r="D204" s="20" t="s">
        <v>4</v>
      </c>
      <c r="E204" s="19" t="s">
        <v>150</v>
      </c>
      <c r="F204" s="14" t="s">
        <v>149</v>
      </c>
      <c r="G204" s="18" t="s">
        <v>30</v>
      </c>
      <c r="H204" s="17">
        <v>4</v>
      </c>
      <c r="I204" s="16"/>
      <c r="J204" s="15">
        <f t="shared" si="40"/>
        <v>0</v>
      </c>
      <c r="K204" s="14" t="s">
        <v>7</v>
      </c>
      <c r="L204" s="3"/>
      <c r="M204" s="24" t="s">
        <v>6</v>
      </c>
      <c r="N204" s="23" t="s">
        <v>5</v>
      </c>
      <c r="P204" s="22">
        <f t="shared" si="41"/>
        <v>0</v>
      </c>
      <c r="Q204" s="22">
        <v>0</v>
      </c>
      <c r="R204" s="22">
        <f t="shared" si="42"/>
        <v>0</v>
      </c>
      <c r="S204" s="22">
        <v>0</v>
      </c>
      <c r="T204" s="21">
        <f t="shared" si="43"/>
        <v>0</v>
      </c>
      <c r="AR204" s="6" t="s">
        <v>1</v>
      </c>
      <c r="AT204" s="6" t="s">
        <v>4</v>
      </c>
      <c r="AU204" s="6" t="s">
        <v>2</v>
      </c>
      <c r="AY204" s="7" t="s">
        <v>3</v>
      </c>
      <c r="BE204" s="8">
        <f t="shared" si="44"/>
        <v>0</v>
      </c>
      <c r="BF204" s="8">
        <f t="shared" si="45"/>
        <v>0</v>
      </c>
      <c r="BG204" s="8">
        <f t="shared" si="46"/>
        <v>0</v>
      </c>
      <c r="BH204" s="8">
        <f t="shared" si="47"/>
        <v>0</v>
      </c>
      <c r="BI204" s="8">
        <f t="shared" si="48"/>
        <v>0</v>
      </c>
      <c r="BJ204" s="7" t="s">
        <v>2</v>
      </c>
      <c r="BK204" s="8">
        <f t="shared" si="49"/>
        <v>0</v>
      </c>
      <c r="BL204" s="7" t="s">
        <v>1</v>
      </c>
      <c r="BM204" s="6" t="s">
        <v>148</v>
      </c>
    </row>
    <row r="205" spans="2:65" s="2" customFormat="1" ht="16.5" customHeight="1">
      <c r="B205" s="3"/>
      <c r="C205" s="20" t="s">
        <v>147</v>
      </c>
      <c r="D205" s="20" t="s">
        <v>4</v>
      </c>
      <c r="E205" s="19" t="s">
        <v>146</v>
      </c>
      <c r="F205" s="14" t="s">
        <v>63</v>
      </c>
      <c r="G205" s="18" t="s">
        <v>8</v>
      </c>
      <c r="H205" s="17">
        <v>1</v>
      </c>
      <c r="I205" s="16"/>
      <c r="J205" s="15">
        <f t="shared" si="40"/>
        <v>0</v>
      </c>
      <c r="K205" s="14" t="s">
        <v>7</v>
      </c>
      <c r="L205" s="3"/>
      <c r="M205" s="24" t="s">
        <v>6</v>
      </c>
      <c r="N205" s="23" t="s">
        <v>5</v>
      </c>
      <c r="P205" s="22">
        <f t="shared" si="41"/>
        <v>0</v>
      </c>
      <c r="Q205" s="22">
        <v>0</v>
      </c>
      <c r="R205" s="22">
        <f t="shared" si="42"/>
        <v>0</v>
      </c>
      <c r="S205" s="22">
        <v>0</v>
      </c>
      <c r="T205" s="21">
        <f t="shared" si="43"/>
        <v>0</v>
      </c>
      <c r="AR205" s="6" t="s">
        <v>1</v>
      </c>
      <c r="AT205" s="6" t="s">
        <v>4</v>
      </c>
      <c r="AU205" s="6" t="s">
        <v>2</v>
      </c>
      <c r="AY205" s="7" t="s">
        <v>3</v>
      </c>
      <c r="BE205" s="8">
        <f t="shared" si="44"/>
        <v>0</v>
      </c>
      <c r="BF205" s="8">
        <f t="shared" si="45"/>
        <v>0</v>
      </c>
      <c r="BG205" s="8">
        <f t="shared" si="46"/>
        <v>0</v>
      </c>
      <c r="BH205" s="8">
        <f t="shared" si="47"/>
        <v>0</v>
      </c>
      <c r="BI205" s="8">
        <f t="shared" si="48"/>
        <v>0</v>
      </c>
      <c r="BJ205" s="7" t="s">
        <v>2</v>
      </c>
      <c r="BK205" s="8">
        <f t="shared" si="49"/>
        <v>0</v>
      </c>
      <c r="BL205" s="7" t="s">
        <v>1</v>
      </c>
      <c r="BM205" s="6" t="s">
        <v>145</v>
      </c>
    </row>
    <row r="206" spans="2:65" s="2" customFormat="1" ht="16.5" customHeight="1">
      <c r="B206" s="3"/>
      <c r="C206" s="20" t="s">
        <v>144</v>
      </c>
      <c r="D206" s="20" t="s">
        <v>4</v>
      </c>
      <c r="E206" s="19" t="s">
        <v>143</v>
      </c>
      <c r="F206" s="14" t="s">
        <v>59</v>
      </c>
      <c r="G206" s="18" t="s">
        <v>8</v>
      </c>
      <c r="H206" s="17">
        <v>1</v>
      </c>
      <c r="I206" s="16"/>
      <c r="J206" s="15">
        <f t="shared" si="40"/>
        <v>0</v>
      </c>
      <c r="K206" s="14" t="s">
        <v>7</v>
      </c>
      <c r="L206" s="3"/>
      <c r="M206" s="24" t="s">
        <v>6</v>
      </c>
      <c r="N206" s="23" t="s">
        <v>5</v>
      </c>
      <c r="P206" s="22">
        <f t="shared" si="41"/>
        <v>0</v>
      </c>
      <c r="Q206" s="22">
        <v>0</v>
      </c>
      <c r="R206" s="22">
        <f t="shared" si="42"/>
        <v>0</v>
      </c>
      <c r="S206" s="22">
        <v>0</v>
      </c>
      <c r="T206" s="21">
        <f t="shared" si="43"/>
        <v>0</v>
      </c>
      <c r="AR206" s="6" t="s">
        <v>1</v>
      </c>
      <c r="AT206" s="6" t="s">
        <v>4</v>
      </c>
      <c r="AU206" s="6" t="s">
        <v>2</v>
      </c>
      <c r="AY206" s="7" t="s">
        <v>3</v>
      </c>
      <c r="BE206" s="8">
        <f t="shared" si="44"/>
        <v>0</v>
      </c>
      <c r="BF206" s="8">
        <f t="shared" si="45"/>
        <v>0</v>
      </c>
      <c r="BG206" s="8">
        <f t="shared" si="46"/>
        <v>0</v>
      </c>
      <c r="BH206" s="8">
        <f t="shared" si="47"/>
        <v>0</v>
      </c>
      <c r="BI206" s="8">
        <f t="shared" si="48"/>
        <v>0</v>
      </c>
      <c r="BJ206" s="7" t="s">
        <v>2</v>
      </c>
      <c r="BK206" s="8">
        <f t="shared" si="49"/>
        <v>0</v>
      </c>
      <c r="BL206" s="7" t="s">
        <v>1</v>
      </c>
      <c r="BM206" s="6" t="s">
        <v>142</v>
      </c>
    </row>
    <row r="207" spans="2:65" s="2" customFormat="1" ht="16.5" customHeight="1">
      <c r="B207" s="3"/>
      <c r="C207" s="20" t="s">
        <v>141</v>
      </c>
      <c r="D207" s="20" t="s">
        <v>4</v>
      </c>
      <c r="E207" s="19" t="s">
        <v>140</v>
      </c>
      <c r="F207" s="14" t="s">
        <v>139</v>
      </c>
      <c r="G207" s="18" t="s">
        <v>21</v>
      </c>
      <c r="H207" s="17">
        <v>5</v>
      </c>
      <c r="I207" s="16"/>
      <c r="J207" s="15">
        <f t="shared" si="40"/>
        <v>0</v>
      </c>
      <c r="K207" s="14" t="s">
        <v>7</v>
      </c>
      <c r="L207" s="3"/>
      <c r="M207" s="24" t="s">
        <v>6</v>
      </c>
      <c r="N207" s="23" t="s">
        <v>5</v>
      </c>
      <c r="P207" s="22">
        <f t="shared" si="41"/>
        <v>0</v>
      </c>
      <c r="Q207" s="22">
        <v>0</v>
      </c>
      <c r="R207" s="22">
        <f t="shared" si="42"/>
        <v>0</v>
      </c>
      <c r="S207" s="22">
        <v>0</v>
      </c>
      <c r="T207" s="21">
        <f t="shared" si="43"/>
        <v>0</v>
      </c>
      <c r="AR207" s="6" t="s">
        <v>1</v>
      </c>
      <c r="AT207" s="6" t="s">
        <v>4</v>
      </c>
      <c r="AU207" s="6" t="s">
        <v>2</v>
      </c>
      <c r="AY207" s="7" t="s">
        <v>3</v>
      </c>
      <c r="BE207" s="8">
        <f t="shared" si="44"/>
        <v>0</v>
      </c>
      <c r="BF207" s="8">
        <f t="shared" si="45"/>
        <v>0</v>
      </c>
      <c r="BG207" s="8">
        <f t="shared" si="46"/>
        <v>0</v>
      </c>
      <c r="BH207" s="8">
        <f t="shared" si="47"/>
        <v>0</v>
      </c>
      <c r="BI207" s="8">
        <f t="shared" si="48"/>
        <v>0</v>
      </c>
      <c r="BJ207" s="7" t="s">
        <v>2</v>
      </c>
      <c r="BK207" s="8">
        <f t="shared" si="49"/>
        <v>0</v>
      </c>
      <c r="BL207" s="7" t="s">
        <v>1</v>
      </c>
      <c r="BM207" s="6" t="s">
        <v>138</v>
      </c>
    </row>
    <row r="208" spans="2:65" s="2" customFormat="1" ht="16.5" customHeight="1">
      <c r="B208" s="3"/>
      <c r="C208" s="20" t="s">
        <v>137</v>
      </c>
      <c r="D208" s="20" t="s">
        <v>4</v>
      </c>
      <c r="E208" s="19" t="s">
        <v>136</v>
      </c>
      <c r="F208" s="14" t="s">
        <v>135</v>
      </c>
      <c r="G208" s="18" t="s">
        <v>8</v>
      </c>
      <c r="H208" s="17">
        <v>8</v>
      </c>
      <c r="I208" s="16"/>
      <c r="J208" s="15">
        <f t="shared" si="40"/>
        <v>0</v>
      </c>
      <c r="K208" s="14" t="s">
        <v>7</v>
      </c>
      <c r="L208" s="3"/>
      <c r="M208" s="24" t="s">
        <v>6</v>
      </c>
      <c r="N208" s="23" t="s">
        <v>5</v>
      </c>
      <c r="P208" s="22">
        <f t="shared" si="41"/>
        <v>0</v>
      </c>
      <c r="Q208" s="22">
        <v>0</v>
      </c>
      <c r="R208" s="22">
        <f t="shared" si="42"/>
        <v>0</v>
      </c>
      <c r="S208" s="22">
        <v>0</v>
      </c>
      <c r="T208" s="21">
        <f t="shared" si="43"/>
        <v>0</v>
      </c>
      <c r="AR208" s="6" t="s">
        <v>1</v>
      </c>
      <c r="AT208" s="6" t="s">
        <v>4</v>
      </c>
      <c r="AU208" s="6" t="s">
        <v>2</v>
      </c>
      <c r="AY208" s="7" t="s">
        <v>3</v>
      </c>
      <c r="BE208" s="8">
        <f t="shared" si="44"/>
        <v>0</v>
      </c>
      <c r="BF208" s="8">
        <f t="shared" si="45"/>
        <v>0</v>
      </c>
      <c r="BG208" s="8">
        <f t="shared" si="46"/>
        <v>0</v>
      </c>
      <c r="BH208" s="8">
        <f t="shared" si="47"/>
        <v>0</v>
      </c>
      <c r="BI208" s="8">
        <f t="shared" si="48"/>
        <v>0</v>
      </c>
      <c r="BJ208" s="7" t="s">
        <v>2</v>
      </c>
      <c r="BK208" s="8">
        <f t="shared" si="49"/>
        <v>0</v>
      </c>
      <c r="BL208" s="7" t="s">
        <v>1</v>
      </c>
      <c r="BM208" s="6" t="s">
        <v>134</v>
      </c>
    </row>
    <row r="209" spans="2:65" s="2" customFormat="1" ht="16.5" customHeight="1">
      <c r="B209" s="3"/>
      <c r="C209" s="20" t="s">
        <v>133</v>
      </c>
      <c r="D209" s="20" t="s">
        <v>4</v>
      </c>
      <c r="E209" s="19" t="s">
        <v>132</v>
      </c>
      <c r="F209" s="14" t="s">
        <v>131</v>
      </c>
      <c r="G209" s="18" t="s">
        <v>8</v>
      </c>
      <c r="H209" s="17">
        <v>2</v>
      </c>
      <c r="I209" s="16"/>
      <c r="J209" s="15">
        <f t="shared" si="40"/>
        <v>0</v>
      </c>
      <c r="K209" s="14" t="s">
        <v>7</v>
      </c>
      <c r="L209" s="3"/>
      <c r="M209" s="24" t="s">
        <v>6</v>
      </c>
      <c r="N209" s="23" t="s">
        <v>5</v>
      </c>
      <c r="P209" s="22">
        <f t="shared" si="41"/>
        <v>0</v>
      </c>
      <c r="Q209" s="22">
        <v>0</v>
      </c>
      <c r="R209" s="22">
        <f t="shared" si="42"/>
        <v>0</v>
      </c>
      <c r="S209" s="22">
        <v>0</v>
      </c>
      <c r="T209" s="21">
        <f t="shared" si="43"/>
        <v>0</v>
      </c>
      <c r="AR209" s="6" t="s">
        <v>1</v>
      </c>
      <c r="AT209" s="6" t="s">
        <v>4</v>
      </c>
      <c r="AU209" s="6" t="s">
        <v>2</v>
      </c>
      <c r="AY209" s="7" t="s">
        <v>3</v>
      </c>
      <c r="BE209" s="8">
        <f t="shared" si="44"/>
        <v>0</v>
      </c>
      <c r="BF209" s="8">
        <f t="shared" si="45"/>
        <v>0</v>
      </c>
      <c r="BG209" s="8">
        <f t="shared" si="46"/>
        <v>0</v>
      </c>
      <c r="BH209" s="8">
        <f t="shared" si="47"/>
        <v>0</v>
      </c>
      <c r="BI209" s="8">
        <f t="shared" si="48"/>
        <v>0</v>
      </c>
      <c r="BJ209" s="7" t="s">
        <v>2</v>
      </c>
      <c r="BK209" s="8">
        <f t="shared" si="49"/>
        <v>0</v>
      </c>
      <c r="BL209" s="7" t="s">
        <v>1</v>
      </c>
      <c r="BM209" s="6" t="s">
        <v>130</v>
      </c>
    </row>
    <row r="210" spans="2:65" s="2" customFormat="1" ht="16.5" customHeight="1">
      <c r="B210" s="3"/>
      <c r="C210" s="20" t="s">
        <v>129</v>
      </c>
      <c r="D210" s="20" t="s">
        <v>4</v>
      </c>
      <c r="E210" s="19" t="s">
        <v>128</v>
      </c>
      <c r="F210" s="14" t="s">
        <v>127</v>
      </c>
      <c r="G210" s="18" t="s">
        <v>8</v>
      </c>
      <c r="H210" s="17">
        <v>2</v>
      </c>
      <c r="I210" s="16"/>
      <c r="J210" s="15">
        <f t="shared" si="40"/>
        <v>0</v>
      </c>
      <c r="K210" s="14" t="s">
        <v>7</v>
      </c>
      <c r="L210" s="3"/>
      <c r="M210" s="24" t="s">
        <v>6</v>
      </c>
      <c r="N210" s="23" t="s">
        <v>5</v>
      </c>
      <c r="P210" s="22">
        <f t="shared" si="41"/>
        <v>0</v>
      </c>
      <c r="Q210" s="22">
        <v>0</v>
      </c>
      <c r="R210" s="22">
        <f t="shared" si="42"/>
        <v>0</v>
      </c>
      <c r="S210" s="22">
        <v>0</v>
      </c>
      <c r="T210" s="21">
        <f t="shared" si="43"/>
        <v>0</v>
      </c>
      <c r="AR210" s="6" t="s">
        <v>1</v>
      </c>
      <c r="AT210" s="6" t="s">
        <v>4</v>
      </c>
      <c r="AU210" s="6" t="s">
        <v>2</v>
      </c>
      <c r="AY210" s="7" t="s">
        <v>3</v>
      </c>
      <c r="BE210" s="8">
        <f t="shared" si="44"/>
        <v>0</v>
      </c>
      <c r="BF210" s="8">
        <f t="shared" si="45"/>
        <v>0</v>
      </c>
      <c r="BG210" s="8">
        <f t="shared" si="46"/>
        <v>0</v>
      </c>
      <c r="BH210" s="8">
        <f t="shared" si="47"/>
        <v>0</v>
      </c>
      <c r="BI210" s="8">
        <f t="shared" si="48"/>
        <v>0</v>
      </c>
      <c r="BJ210" s="7" t="s">
        <v>2</v>
      </c>
      <c r="BK210" s="8">
        <f t="shared" si="49"/>
        <v>0</v>
      </c>
      <c r="BL210" s="7" t="s">
        <v>1</v>
      </c>
      <c r="BM210" s="6" t="s">
        <v>126</v>
      </c>
    </row>
    <row r="211" spans="2:65" s="2" customFormat="1" ht="16.5" customHeight="1">
      <c r="B211" s="3"/>
      <c r="C211" s="20" t="s">
        <v>125</v>
      </c>
      <c r="D211" s="20" t="s">
        <v>4</v>
      </c>
      <c r="E211" s="19" t="s">
        <v>124</v>
      </c>
      <c r="F211" s="14" t="s">
        <v>123</v>
      </c>
      <c r="G211" s="18" t="s">
        <v>30</v>
      </c>
      <c r="H211" s="17">
        <v>8</v>
      </c>
      <c r="I211" s="16"/>
      <c r="J211" s="15">
        <f t="shared" si="40"/>
        <v>0</v>
      </c>
      <c r="K211" s="14" t="s">
        <v>7</v>
      </c>
      <c r="L211" s="3"/>
      <c r="M211" s="24" t="s">
        <v>6</v>
      </c>
      <c r="N211" s="23" t="s">
        <v>5</v>
      </c>
      <c r="P211" s="22">
        <f t="shared" si="41"/>
        <v>0</v>
      </c>
      <c r="Q211" s="22">
        <v>0</v>
      </c>
      <c r="R211" s="22">
        <f t="shared" si="42"/>
        <v>0</v>
      </c>
      <c r="S211" s="22">
        <v>0</v>
      </c>
      <c r="T211" s="21">
        <f t="shared" si="43"/>
        <v>0</v>
      </c>
      <c r="AR211" s="6" t="s">
        <v>1</v>
      </c>
      <c r="AT211" s="6" t="s">
        <v>4</v>
      </c>
      <c r="AU211" s="6" t="s">
        <v>2</v>
      </c>
      <c r="AY211" s="7" t="s">
        <v>3</v>
      </c>
      <c r="BE211" s="8">
        <f t="shared" si="44"/>
        <v>0</v>
      </c>
      <c r="BF211" s="8">
        <f t="shared" si="45"/>
        <v>0</v>
      </c>
      <c r="BG211" s="8">
        <f t="shared" si="46"/>
        <v>0</v>
      </c>
      <c r="BH211" s="8">
        <f t="shared" si="47"/>
        <v>0</v>
      </c>
      <c r="BI211" s="8">
        <f t="shared" si="48"/>
        <v>0</v>
      </c>
      <c r="BJ211" s="7" t="s">
        <v>2</v>
      </c>
      <c r="BK211" s="8">
        <f t="shared" si="49"/>
        <v>0</v>
      </c>
      <c r="BL211" s="7" t="s">
        <v>1</v>
      </c>
      <c r="BM211" s="6" t="s">
        <v>122</v>
      </c>
    </row>
    <row r="212" spans="2:65" s="2" customFormat="1" ht="16.5" customHeight="1">
      <c r="B212" s="3"/>
      <c r="C212" s="20" t="s">
        <v>121</v>
      </c>
      <c r="D212" s="20" t="s">
        <v>4</v>
      </c>
      <c r="E212" s="19" t="s">
        <v>120</v>
      </c>
      <c r="F212" s="14" t="s">
        <v>119</v>
      </c>
      <c r="G212" s="18" t="s">
        <v>30</v>
      </c>
      <c r="H212" s="17">
        <v>12</v>
      </c>
      <c r="I212" s="16"/>
      <c r="J212" s="15">
        <f t="shared" si="40"/>
        <v>0</v>
      </c>
      <c r="K212" s="14" t="s">
        <v>7</v>
      </c>
      <c r="L212" s="3"/>
      <c r="M212" s="24" t="s">
        <v>6</v>
      </c>
      <c r="N212" s="23" t="s">
        <v>5</v>
      </c>
      <c r="P212" s="22">
        <f t="shared" si="41"/>
        <v>0</v>
      </c>
      <c r="Q212" s="22">
        <v>0</v>
      </c>
      <c r="R212" s="22">
        <f t="shared" si="42"/>
        <v>0</v>
      </c>
      <c r="S212" s="22">
        <v>0</v>
      </c>
      <c r="T212" s="21">
        <f t="shared" si="43"/>
        <v>0</v>
      </c>
      <c r="AR212" s="6" t="s">
        <v>1</v>
      </c>
      <c r="AT212" s="6" t="s">
        <v>4</v>
      </c>
      <c r="AU212" s="6" t="s">
        <v>2</v>
      </c>
      <c r="AY212" s="7" t="s">
        <v>3</v>
      </c>
      <c r="BE212" s="8">
        <f t="shared" si="44"/>
        <v>0</v>
      </c>
      <c r="BF212" s="8">
        <f t="shared" si="45"/>
        <v>0</v>
      </c>
      <c r="BG212" s="8">
        <f t="shared" si="46"/>
        <v>0</v>
      </c>
      <c r="BH212" s="8">
        <f t="shared" si="47"/>
        <v>0</v>
      </c>
      <c r="BI212" s="8">
        <f t="shared" si="48"/>
        <v>0</v>
      </c>
      <c r="BJ212" s="7" t="s">
        <v>2</v>
      </c>
      <c r="BK212" s="8">
        <f t="shared" si="49"/>
        <v>0</v>
      </c>
      <c r="BL212" s="7" t="s">
        <v>1</v>
      </c>
      <c r="BM212" s="6" t="s">
        <v>118</v>
      </c>
    </row>
    <row r="213" spans="2:65" s="25" customFormat="1" ht="25.9" customHeight="1">
      <c r="B213" s="32"/>
      <c r="D213" s="27" t="s">
        <v>26</v>
      </c>
      <c r="E213" s="35" t="s">
        <v>117</v>
      </c>
      <c r="F213" s="35" t="s">
        <v>116</v>
      </c>
      <c r="I213" s="34"/>
      <c r="J213" s="33">
        <f>BK213</f>
        <v>0</v>
      </c>
      <c r="L213" s="32"/>
      <c r="M213" s="31"/>
      <c r="P213" s="30">
        <f>P214</f>
        <v>0</v>
      </c>
      <c r="R213" s="30">
        <f>R214</f>
        <v>0</v>
      </c>
      <c r="T213" s="29">
        <f>T214</f>
        <v>0</v>
      </c>
      <c r="AR213" s="27" t="s">
        <v>2</v>
      </c>
      <c r="AT213" s="28" t="s">
        <v>26</v>
      </c>
      <c r="AU213" s="28" t="s">
        <v>25</v>
      </c>
      <c r="AY213" s="27" t="s">
        <v>3</v>
      </c>
      <c r="BK213" s="26">
        <f>BK214</f>
        <v>0</v>
      </c>
    </row>
    <row r="214" spans="2:65" s="2" customFormat="1" ht="21.75" customHeight="1">
      <c r="B214" s="3"/>
      <c r="C214" s="20" t="s">
        <v>115</v>
      </c>
      <c r="D214" s="20" t="s">
        <v>4</v>
      </c>
      <c r="E214" s="19" t="s">
        <v>114</v>
      </c>
      <c r="F214" s="14" t="s">
        <v>113</v>
      </c>
      <c r="G214" s="18" t="s">
        <v>8</v>
      </c>
      <c r="H214" s="17">
        <v>4</v>
      </c>
      <c r="I214" s="16"/>
      <c r="J214" s="15">
        <f>ROUND(I214*H214,2)</f>
        <v>0</v>
      </c>
      <c r="K214" s="14" t="s">
        <v>7</v>
      </c>
      <c r="L214" s="3"/>
      <c r="M214" s="24" t="s">
        <v>6</v>
      </c>
      <c r="N214" s="23" t="s">
        <v>5</v>
      </c>
      <c r="P214" s="22">
        <f>O214*H214</f>
        <v>0</v>
      </c>
      <c r="Q214" s="22">
        <v>0</v>
      </c>
      <c r="R214" s="22">
        <f>Q214*H214</f>
        <v>0</v>
      </c>
      <c r="S214" s="22">
        <v>0</v>
      </c>
      <c r="T214" s="21">
        <f>S214*H214</f>
        <v>0</v>
      </c>
      <c r="AR214" s="6" t="s">
        <v>1</v>
      </c>
      <c r="AT214" s="6" t="s">
        <v>4</v>
      </c>
      <c r="AU214" s="6" t="s">
        <v>2</v>
      </c>
      <c r="AY214" s="7" t="s">
        <v>3</v>
      </c>
      <c r="BE214" s="8">
        <f>IF(N214="základní",J214,0)</f>
        <v>0</v>
      </c>
      <c r="BF214" s="8">
        <f>IF(N214="snížená",J214,0)</f>
        <v>0</v>
      </c>
      <c r="BG214" s="8">
        <f>IF(N214="zákl. přenesená",J214,0)</f>
        <v>0</v>
      </c>
      <c r="BH214" s="8">
        <f>IF(N214="sníž. přenesená",J214,0)</f>
        <v>0</v>
      </c>
      <c r="BI214" s="8">
        <f>IF(N214="nulová",J214,0)</f>
        <v>0</v>
      </c>
      <c r="BJ214" s="7" t="s">
        <v>2</v>
      </c>
      <c r="BK214" s="8">
        <f>ROUND(I214*H214,2)</f>
        <v>0</v>
      </c>
      <c r="BL214" s="7" t="s">
        <v>1</v>
      </c>
      <c r="BM214" s="6" t="s">
        <v>112</v>
      </c>
    </row>
    <row r="215" spans="2:65" s="25" customFormat="1" ht="25.9" customHeight="1">
      <c r="B215" s="32"/>
      <c r="D215" s="27" t="s">
        <v>26</v>
      </c>
      <c r="E215" s="35" t="s">
        <v>111</v>
      </c>
      <c r="F215" s="35" t="s">
        <v>110</v>
      </c>
      <c r="I215" s="34"/>
      <c r="J215" s="33">
        <f>BK215</f>
        <v>0</v>
      </c>
      <c r="L215" s="32"/>
      <c r="M215" s="31"/>
      <c r="P215" s="30">
        <f>SUM(P216:P229)</f>
        <v>0</v>
      </c>
      <c r="R215" s="30">
        <f>SUM(R216:R229)</f>
        <v>0</v>
      </c>
      <c r="T215" s="29">
        <f>SUM(T216:T229)</f>
        <v>0</v>
      </c>
      <c r="AR215" s="27" t="s">
        <v>2</v>
      </c>
      <c r="AT215" s="28" t="s">
        <v>26</v>
      </c>
      <c r="AU215" s="28" t="s">
        <v>25</v>
      </c>
      <c r="AY215" s="27" t="s">
        <v>3</v>
      </c>
      <c r="BK215" s="26">
        <f>SUM(BK216:BK229)</f>
        <v>0</v>
      </c>
    </row>
    <row r="216" spans="2:65" s="2" customFormat="1" ht="16.5" customHeight="1">
      <c r="B216" s="3"/>
      <c r="C216" s="20" t="s">
        <v>109</v>
      </c>
      <c r="D216" s="20" t="s">
        <v>4</v>
      </c>
      <c r="E216" s="19" t="s">
        <v>108</v>
      </c>
      <c r="F216" s="14" t="s">
        <v>107</v>
      </c>
      <c r="G216" s="18" t="s">
        <v>21</v>
      </c>
      <c r="H216" s="17">
        <v>10</v>
      </c>
      <c r="I216" s="16"/>
      <c r="J216" s="15">
        <f t="shared" ref="J216:J229" si="50">ROUND(I216*H216,2)</f>
        <v>0</v>
      </c>
      <c r="K216" s="14" t="s">
        <v>7</v>
      </c>
      <c r="L216" s="3"/>
      <c r="M216" s="24" t="s">
        <v>6</v>
      </c>
      <c r="N216" s="23" t="s">
        <v>5</v>
      </c>
      <c r="P216" s="22">
        <f t="shared" ref="P216:P229" si="51">O216*H216</f>
        <v>0</v>
      </c>
      <c r="Q216" s="22">
        <v>0</v>
      </c>
      <c r="R216" s="22">
        <f t="shared" ref="R216:R229" si="52">Q216*H216</f>
        <v>0</v>
      </c>
      <c r="S216" s="22">
        <v>0</v>
      </c>
      <c r="T216" s="21">
        <f t="shared" ref="T216:T229" si="53">S216*H216</f>
        <v>0</v>
      </c>
      <c r="AR216" s="6" t="s">
        <v>1</v>
      </c>
      <c r="AT216" s="6" t="s">
        <v>4</v>
      </c>
      <c r="AU216" s="6" t="s">
        <v>2</v>
      </c>
      <c r="AY216" s="7" t="s">
        <v>3</v>
      </c>
      <c r="BE216" s="8">
        <f t="shared" ref="BE216:BE229" si="54">IF(N216="základní",J216,0)</f>
        <v>0</v>
      </c>
      <c r="BF216" s="8">
        <f t="shared" ref="BF216:BF229" si="55">IF(N216="snížená",J216,0)</f>
        <v>0</v>
      </c>
      <c r="BG216" s="8">
        <f t="shared" ref="BG216:BG229" si="56">IF(N216="zákl. přenesená",J216,0)</f>
        <v>0</v>
      </c>
      <c r="BH216" s="8">
        <f t="shared" ref="BH216:BH229" si="57">IF(N216="sníž. přenesená",J216,0)</f>
        <v>0</v>
      </c>
      <c r="BI216" s="8">
        <f t="shared" ref="BI216:BI229" si="58">IF(N216="nulová",J216,0)</f>
        <v>0</v>
      </c>
      <c r="BJ216" s="7" t="s">
        <v>2</v>
      </c>
      <c r="BK216" s="8">
        <f t="shared" ref="BK216:BK229" si="59">ROUND(I216*H216,2)</f>
        <v>0</v>
      </c>
      <c r="BL216" s="7" t="s">
        <v>1</v>
      </c>
      <c r="BM216" s="6" t="s">
        <v>106</v>
      </c>
    </row>
    <row r="217" spans="2:65" s="2" customFormat="1" ht="16.5" customHeight="1">
      <c r="B217" s="3"/>
      <c r="C217" s="20" t="s">
        <v>105</v>
      </c>
      <c r="D217" s="20" t="s">
        <v>4</v>
      </c>
      <c r="E217" s="19" t="s">
        <v>104</v>
      </c>
      <c r="F217" s="14" t="s">
        <v>103</v>
      </c>
      <c r="G217" s="18" t="s">
        <v>21</v>
      </c>
      <c r="H217" s="17">
        <v>3</v>
      </c>
      <c r="I217" s="16"/>
      <c r="J217" s="15">
        <f t="shared" si="50"/>
        <v>0</v>
      </c>
      <c r="K217" s="14" t="s">
        <v>7</v>
      </c>
      <c r="L217" s="3"/>
      <c r="M217" s="24" t="s">
        <v>6</v>
      </c>
      <c r="N217" s="23" t="s">
        <v>5</v>
      </c>
      <c r="P217" s="22">
        <f t="shared" si="51"/>
        <v>0</v>
      </c>
      <c r="Q217" s="22">
        <v>0</v>
      </c>
      <c r="R217" s="22">
        <f t="shared" si="52"/>
        <v>0</v>
      </c>
      <c r="S217" s="22">
        <v>0</v>
      </c>
      <c r="T217" s="21">
        <f t="shared" si="53"/>
        <v>0</v>
      </c>
      <c r="AR217" s="6" t="s">
        <v>1</v>
      </c>
      <c r="AT217" s="6" t="s">
        <v>4</v>
      </c>
      <c r="AU217" s="6" t="s">
        <v>2</v>
      </c>
      <c r="AY217" s="7" t="s">
        <v>3</v>
      </c>
      <c r="BE217" s="8">
        <f t="shared" si="54"/>
        <v>0</v>
      </c>
      <c r="BF217" s="8">
        <f t="shared" si="55"/>
        <v>0</v>
      </c>
      <c r="BG217" s="8">
        <f t="shared" si="56"/>
        <v>0</v>
      </c>
      <c r="BH217" s="8">
        <f t="shared" si="57"/>
        <v>0</v>
      </c>
      <c r="BI217" s="8">
        <f t="shared" si="58"/>
        <v>0</v>
      </c>
      <c r="BJ217" s="7" t="s">
        <v>2</v>
      </c>
      <c r="BK217" s="8">
        <f t="shared" si="59"/>
        <v>0</v>
      </c>
      <c r="BL217" s="7" t="s">
        <v>1</v>
      </c>
      <c r="BM217" s="6" t="s">
        <v>102</v>
      </c>
    </row>
    <row r="218" spans="2:65" s="2" customFormat="1" ht="24.2" customHeight="1">
      <c r="B218" s="3"/>
      <c r="C218" s="20" t="s">
        <v>101</v>
      </c>
      <c r="D218" s="20" t="s">
        <v>4</v>
      </c>
      <c r="E218" s="19" t="s">
        <v>100</v>
      </c>
      <c r="F218" s="14" t="s">
        <v>99</v>
      </c>
      <c r="G218" s="18" t="s">
        <v>21</v>
      </c>
      <c r="H218" s="17">
        <v>25</v>
      </c>
      <c r="I218" s="16"/>
      <c r="J218" s="15">
        <f t="shared" si="50"/>
        <v>0</v>
      </c>
      <c r="K218" s="14" t="s">
        <v>7</v>
      </c>
      <c r="L218" s="3"/>
      <c r="M218" s="24" t="s">
        <v>6</v>
      </c>
      <c r="N218" s="23" t="s">
        <v>5</v>
      </c>
      <c r="P218" s="22">
        <f t="shared" si="51"/>
        <v>0</v>
      </c>
      <c r="Q218" s="22">
        <v>0</v>
      </c>
      <c r="R218" s="22">
        <f t="shared" si="52"/>
        <v>0</v>
      </c>
      <c r="S218" s="22">
        <v>0</v>
      </c>
      <c r="T218" s="21">
        <f t="shared" si="53"/>
        <v>0</v>
      </c>
      <c r="AR218" s="6" t="s">
        <v>1</v>
      </c>
      <c r="AT218" s="6" t="s">
        <v>4</v>
      </c>
      <c r="AU218" s="6" t="s">
        <v>2</v>
      </c>
      <c r="AY218" s="7" t="s">
        <v>3</v>
      </c>
      <c r="BE218" s="8">
        <f t="shared" si="54"/>
        <v>0</v>
      </c>
      <c r="BF218" s="8">
        <f t="shared" si="55"/>
        <v>0</v>
      </c>
      <c r="BG218" s="8">
        <f t="shared" si="56"/>
        <v>0</v>
      </c>
      <c r="BH218" s="8">
        <f t="shared" si="57"/>
        <v>0</v>
      </c>
      <c r="BI218" s="8">
        <f t="shared" si="58"/>
        <v>0</v>
      </c>
      <c r="BJ218" s="7" t="s">
        <v>2</v>
      </c>
      <c r="BK218" s="8">
        <f t="shared" si="59"/>
        <v>0</v>
      </c>
      <c r="BL218" s="7" t="s">
        <v>1</v>
      </c>
      <c r="BM218" s="6" t="s">
        <v>98</v>
      </c>
    </row>
    <row r="219" spans="2:65" s="2" customFormat="1" ht="16.5" customHeight="1">
      <c r="B219" s="3"/>
      <c r="C219" s="20" t="s">
        <v>97</v>
      </c>
      <c r="D219" s="20" t="s">
        <v>4</v>
      </c>
      <c r="E219" s="19" t="s">
        <v>96</v>
      </c>
      <c r="F219" s="14" t="s">
        <v>95</v>
      </c>
      <c r="G219" s="18" t="s">
        <v>21</v>
      </c>
      <c r="H219" s="17">
        <v>5</v>
      </c>
      <c r="I219" s="16"/>
      <c r="J219" s="15">
        <f t="shared" si="50"/>
        <v>0</v>
      </c>
      <c r="K219" s="14" t="s">
        <v>7</v>
      </c>
      <c r="L219" s="3"/>
      <c r="M219" s="24" t="s">
        <v>6</v>
      </c>
      <c r="N219" s="23" t="s">
        <v>5</v>
      </c>
      <c r="P219" s="22">
        <f t="shared" si="51"/>
        <v>0</v>
      </c>
      <c r="Q219" s="22">
        <v>0</v>
      </c>
      <c r="R219" s="22">
        <f t="shared" si="52"/>
        <v>0</v>
      </c>
      <c r="S219" s="22">
        <v>0</v>
      </c>
      <c r="T219" s="21">
        <f t="shared" si="53"/>
        <v>0</v>
      </c>
      <c r="AR219" s="6" t="s">
        <v>1</v>
      </c>
      <c r="AT219" s="6" t="s">
        <v>4</v>
      </c>
      <c r="AU219" s="6" t="s">
        <v>2</v>
      </c>
      <c r="AY219" s="7" t="s">
        <v>3</v>
      </c>
      <c r="BE219" s="8">
        <f t="shared" si="54"/>
        <v>0</v>
      </c>
      <c r="BF219" s="8">
        <f t="shared" si="55"/>
        <v>0</v>
      </c>
      <c r="BG219" s="8">
        <f t="shared" si="56"/>
        <v>0</v>
      </c>
      <c r="BH219" s="8">
        <f t="shared" si="57"/>
        <v>0</v>
      </c>
      <c r="BI219" s="8">
        <f t="shared" si="58"/>
        <v>0</v>
      </c>
      <c r="BJ219" s="7" t="s">
        <v>2</v>
      </c>
      <c r="BK219" s="8">
        <f t="shared" si="59"/>
        <v>0</v>
      </c>
      <c r="BL219" s="7" t="s">
        <v>1</v>
      </c>
      <c r="BM219" s="6" t="s">
        <v>94</v>
      </c>
    </row>
    <row r="220" spans="2:65" s="2" customFormat="1" ht="16.5" customHeight="1">
      <c r="B220" s="3"/>
      <c r="C220" s="20" t="s">
        <v>93</v>
      </c>
      <c r="D220" s="20" t="s">
        <v>4</v>
      </c>
      <c r="E220" s="19" t="s">
        <v>92</v>
      </c>
      <c r="F220" s="14" t="s">
        <v>91</v>
      </c>
      <c r="G220" s="18" t="s">
        <v>21</v>
      </c>
      <c r="H220" s="17">
        <v>40</v>
      </c>
      <c r="I220" s="16"/>
      <c r="J220" s="15">
        <f t="shared" si="50"/>
        <v>0</v>
      </c>
      <c r="K220" s="14" t="s">
        <v>7</v>
      </c>
      <c r="L220" s="3"/>
      <c r="M220" s="24" t="s">
        <v>6</v>
      </c>
      <c r="N220" s="23" t="s">
        <v>5</v>
      </c>
      <c r="P220" s="22">
        <f t="shared" si="51"/>
        <v>0</v>
      </c>
      <c r="Q220" s="22">
        <v>0</v>
      </c>
      <c r="R220" s="22">
        <f t="shared" si="52"/>
        <v>0</v>
      </c>
      <c r="S220" s="22">
        <v>0</v>
      </c>
      <c r="T220" s="21">
        <f t="shared" si="53"/>
        <v>0</v>
      </c>
      <c r="AR220" s="6" t="s">
        <v>1</v>
      </c>
      <c r="AT220" s="6" t="s">
        <v>4</v>
      </c>
      <c r="AU220" s="6" t="s">
        <v>2</v>
      </c>
      <c r="AY220" s="7" t="s">
        <v>3</v>
      </c>
      <c r="BE220" s="8">
        <f t="shared" si="54"/>
        <v>0</v>
      </c>
      <c r="BF220" s="8">
        <f t="shared" si="55"/>
        <v>0</v>
      </c>
      <c r="BG220" s="8">
        <f t="shared" si="56"/>
        <v>0</v>
      </c>
      <c r="BH220" s="8">
        <f t="shared" si="57"/>
        <v>0</v>
      </c>
      <c r="BI220" s="8">
        <f t="shared" si="58"/>
        <v>0</v>
      </c>
      <c r="BJ220" s="7" t="s">
        <v>2</v>
      </c>
      <c r="BK220" s="8">
        <f t="shared" si="59"/>
        <v>0</v>
      </c>
      <c r="BL220" s="7" t="s">
        <v>1</v>
      </c>
      <c r="BM220" s="6" t="s">
        <v>90</v>
      </c>
    </row>
    <row r="221" spans="2:65" s="2" customFormat="1" ht="16.5" customHeight="1">
      <c r="B221" s="3"/>
      <c r="C221" s="20" t="s">
        <v>89</v>
      </c>
      <c r="D221" s="20" t="s">
        <v>4</v>
      </c>
      <c r="E221" s="19" t="s">
        <v>88</v>
      </c>
      <c r="F221" s="14" t="s">
        <v>87</v>
      </c>
      <c r="G221" s="18" t="s">
        <v>21</v>
      </c>
      <c r="H221" s="17">
        <v>15</v>
      </c>
      <c r="I221" s="16"/>
      <c r="J221" s="15">
        <f t="shared" si="50"/>
        <v>0</v>
      </c>
      <c r="K221" s="14" t="s">
        <v>7</v>
      </c>
      <c r="L221" s="3"/>
      <c r="M221" s="24" t="s">
        <v>6</v>
      </c>
      <c r="N221" s="23" t="s">
        <v>5</v>
      </c>
      <c r="P221" s="22">
        <f t="shared" si="51"/>
        <v>0</v>
      </c>
      <c r="Q221" s="22">
        <v>0</v>
      </c>
      <c r="R221" s="22">
        <f t="shared" si="52"/>
        <v>0</v>
      </c>
      <c r="S221" s="22">
        <v>0</v>
      </c>
      <c r="T221" s="21">
        <f t="shared" si="53"/>
        <v>0</v>
      </c>
      <c r="AR221" s="6" t="s">
        <v>1</v>
      </c>
      <c r="AT221" s="6" t="s">
        <v>4</v>
      </c>
      <c r="AU221" s="6" t="s">
        <v>2</v>
      </c>
      <c r="AY221" s="7" t="s">
        <v>3</v>
      </c>
      <c r="BE221" s="8">
        <f t="shared" si="54"/>
        <v>0</v>
      </c>
      <c r="BF221" s="8">
        <f t="shared" si="55"/>
        <v>0</v>
      </c>
      <c r="BG221" s="8">
        <f t="shared" si="56"/>
        <v>0</v>
      </c>
      <c r="BH221" s="8">
        <f t="shared" si="57"/>
        <v>0</v>
      </c>
      <c r="BI221" s="8">
        <f t="shared" si="58"/>
        <v>0</v>
      </c>
      <c r="BJ221" s="7" t="s">
        <v>2</v>
      </c>
      <c r="BK221" s="8">
        <f t="shared" si="59"/>
        <v>0</v>
      </c>
      <c r="BL221" s="7" t="s">
        <v>1</v>
      </c>
      <c r="BM221" s="6" t="s">
        <v>86</v>
      </c>
    </row>
    <row r="222" spans="2:65" s="2" customFormat="1" ht="24.2" customHeight="1">
      <c r="B222" s="3"/>
      <c r="C222" s="20" t="s">
        <v>85</v>
      </c>
      <c r="D222" s="20" t="s">
        <v>4</v>
      </c>
      <c r="E222" s="19" t="s">
        <v>84</v>
      </c>
      <c r="F222" s="14" t="s">
        <v>83</v>
      </c>
      <c r="G222" s="18" t="s">
        <v>8</v>
      </c>
      <c r="H222" s="17">
        <v>9</v>
      </c>
      <c r="I222" s="16"/>
      <c r="J222" s="15">
        <f t="shared" si="50"/>
        <v>0</v>
      </c>
      <c r="K222" s="14" t="s">
        <v>7</v>
      </c>
      <c r="L222" s="3"/>
      <c r="M222" s="24" t="s">
        <v>6</v>
      </c>
      <c r="N222" s="23" t="s">
        <v>5</v>
      </c>
      <c r="P222" s="22">
        <f t="shared" si="51"/>
        <v>0</v>
      </c>
      <c r="Q222" s="22">
        <v>0</v>
      </c>
      <c r="R222" s="22">
        <f t="shared" si="52"/>
        <v>0</v>
      </c>
      <c r="S222" s="22">
        <v>0</v>
      </c>
      <c r="T222" s="21">
        <f t="shared" si="53"/>
        <v>0</v>
      </c>
      <c r="AR222" s="6" t="s">
        <v>1</v>
      </c>
      <c r="AT222" s="6" t="s">
        <v>4</v>
      </c>
      <c r="AU222" s="6" t="s">
        <v>2</v>
      </c>
      <c r="AY222" s="7" t="s">
        <v>3</v>
      </c>
      <c r="BE222" s="8">
        <f t="shared" si="54"/>
        <v>0</v>
      </c>
      <c r="BF222" s="8">
        <f t="shared" si="55"/>
        <v>0</v>
      </c>
      <c r="BG222" s="8">
        <f t="shared" si="56"/>
        <v>0</v>
      </c>
      <c r="BH222" s="8">
        <f t="shared" si="57"/>
        <v>0</v>
      </c>
      <c r="BI222" s="8">
        <f t="shared" si="58"/>
        <v>0</v>
      </c>
      <c r="BJ222" s="7" t="s">
        <v>2</v>
      </c>
      <c r="BK222" s="8">
        <f t="shared" si="59"/>
        <v>0</v>
      </c>
      <c r="BL222" s="7" t="s">
        <v>1</v>
      </c>
      <c r="BM222" s="6" t="s">
        <v>82</v>
      </c>
    </row>
    <row r="223" spans="2:65" s="2" customFormat="1" ht="16.5" customHeight="1">
      <c r="B223" s="3"/>
      <c r="C223" s="20" t="s">
        <v>81</v>
      </c>
      <c r="D223" s="20" t="s">
        <v>4</v>
      </c>
      <c r="E223" s="19" t="s">
        <v>80</v>
      </c>
      <c r="F223" s="14" t="s">
        <v>79</v>
      </c>
      <c r="G223" s="18" t="s">
        <v>8</v>
      </c>
      <c r="H223" s="17">
        <v>45</v>
      </c>
      <c r="I223" s="16"/>
      <c r="J223" s="15">
        <f t="shared" si="50"/>
        <v>0</v>
      </c>
      <c r="K223" s="14" t="s">
        <v>7</v>
      </c>
      <c r="L223" s="3"/>
      <c r="M223" s="24" t="s">
        <v>6</v>
      </c>
      <c r="N223" s="23" t="s">
        <v>5</v>
      </c>
      <c r="P223" s="22">
        <f t="shared" si="51"/>
        <v>0</v>
      </c>
      <c r="Q223" s="22">
        <v>0</v>
      </c>
      <c r="R223" s="22">
        <f t="shared" si="52"/>
        <v>0</v>
      </c>
      <c r="S223" s="22">
        <v>0</v>
      </c>
      <c r="T223" s="21">
        <f t="shared" si="53"/>
        <v>0</v>
      </c>
      <c r="AR223" s="6" t="s">
        <v>1</v>
      </c>
      <c r="AT223" s="6" t="s">
        <v>4</v>
      </c>
      <c r="AU223" s="6" t="s">
        <v>2</v>
      </c>
      <c r="AY223" s="7" t="s">
        <v>3</v>
      </c>
      <c r="BE223" s="8">
        <f t="shared" si="54"/>
        <v>0</v>
      </c>
      <c r="BF223" s="8">
        <f t="shared" si="55"/>
        <v>0</v>
      </c>
      <c r="BG223" s="8">
        <f t="shared" si="56"/>
        <v>0</v>
      </c>
      <c r="BH223" s="8">
        <f t="shared" si="57"/>
        <v>0</v>
      </c>
      <c r="BI223" s="8">
        <f t="shared" si="58"/>
        <v>0</v>
      </c>
      <c r="BJ223" s="7" t="s">
        <v>2</v>
      </c>
      <c r="BK223" s="8">
        <f t="shared" si="59"/>
        <v>0</v>
      </c>
      <c r="BL223" s="7" t="s">
        <v>1</v>
      </c>
      <c r="BM223" s="6" t="s">
        <v>78</v>
      </c>
    </row>
    <row r="224" spans="2:65" s="2" customFormat="1" ht="16.5" customHeight="1">
      <c r="B224" s="3"/>
      <c r="C224" s="20" t="s">
        <v>77</v>
      </c>
      <c r="D224" s="20" t="s">
        <v>4</v>
      </c>
      <c r="E224" s="19" t="s">
        <v>76</v>
      </c>
      <c r="F224" s="14" t="s">
        <v>75</v>
      </c>
      <c r="G224" s="18" t="s">
        <v>21</v>
      </c>
      <c r="H224" s="17">
        <v>30</v>
      </c>
      <c r="I224" s="16"/>
      <c r="J224" s="15">
        <f t="shared" si="50"/>
        <v>0</v>
      </c>
      <c r="K224" s="14" t="s">
        <v>7</v>
      </c>
      <c r="L224" s="3"/>
      <c r="M224" s="24" t="s">
        <v>6</v>
      </c>
      <c r="N224" s="23" t="s">
        <v>5</v>
      </c>
      <c r="P224" s="22">
        <f t="shared" si="51"/>
        <v>0</v>
      </c>
      <c r="Q224" s="22">
        <v>0</v>
      </c>
      <c r="R224" s="22">
        <f t="shared" si="52"/>
        <v>0</v>
      </c>
      <c r="S224" s="22">
        <v>0</v>
      </c>
      <c r="T224" s="21">
        <f t="shared" si="53"/>
        <v>0</v>
      </c>
      <c r="AR224" s="6" t="s">
        <v>1</v>
      </c>
      <c r="AT224" s="6" t="s">
        <v>4</v>
      </c>
      <c r="AU224" s="6" t="s">
        <v>2</v>
      </c>
      <c r="AY224" s="7" t="s">
        <v>3</v>
      </c>
      <c r="BE224" s="8">
        <f t="shared" si="54"/>
        <v>0</v>
      </c>
      <c r="BF224" s="8">
        <f t="shared" si="55"/>
        <v>0</v>
      </c>
      <c r="BG224" s="8">
        <f t="shared" si="56"/>
        <v>0</v>
      </c>
      <c r="BH224" s="8">
        <f t="shared" si="57"/>
        <v>0</v>
      </c>
      <c r="BI224" s="8">
        <f t="shared" si="58"/>
        <v>0</v>
      </c>
      <c r="BJ224" s="7" t="s">
        <v>2</v>
      </c>
      <c r="BK224" s="8">
        <f t="shared" si="59"/>
        <v>0</v>
      </c>
      <c r="BL224" s="7" t="s">
        <v>1</v>
      </c>
      <c r="BM224" s="6" t="s">
        <v>74</v>
      </c>
    </row>
    <row r="225" spans="2:65" s="2" customFormat="1" ht="16.5" customHeight="1">
      <c r="B225" s="3"/>
      <c r="C225" s="20" t="s">
        <v>73</v>
      </c>
      <c r="D225" s="20" t="s">
        <v>4</v>
      </c>
      <c r="E225" s="19" t="s">
        <v>72</v>
      </c>
      <c r="F225" s="14" t="s">
        <v>71</v>
      </c>
      <c r="G225" s="18" t="s">
        <v>8</v>
      </c>
      <c r="H225" s="17">
        <v>6</v>
      </c>
      <c r="I225" s="16"/>
      <c r="J225" s="15">
        <f t="shared" si="50"/>
        <v>0</v>
      </c>
      <c r="K225" s="14" t="s">
        <v>7</v>
      </c>
      <c r="L225" s="3"/>
      <c r="M225" s="24" t="s">
        <v>6</v>
      </c>
      <c r="N225" s="23" t="s">
        <v>5</v>
      </c>
      <c r="P225" s="22">
        <f t="shared" si="51"/>
        <v>0</v>
      </c>
      <c r="Q225" s="22">
        <v>0</v>
      </c>
      <c r="R225" s="22">
        <f t="shared" si="52"/>
        <v>0</v>
      </c>
      <c r="S225" s="22">
        <v>0</v>
      </c>
      <c r="T225" s="21">
        <f t="shared" si="53"/>
        <v>0</v>
      </c>
      <c r="AR225" s="6" t="s">
        <v>1</v>
      </c>
      <c r="AT225" s="6" t="s">
        <v>4</v>
      </c>
      <c r="AU225" s="6" t="s">
        <v>2</v>
      </c>
      <c r="AY225" s="7" t="s">
        <v>3</v>
      </c>
      <c r="BE225" s="8">
        <f t="shared" si="54"/>
        <v>0</v>
      </c>
      <c r="BF225" s="8">
        <f t="shared" si="55"/>
        <v>0</v>
      </c>
      <c r="BG225" s="8">
        <f t="shared" si="56"/>
        <v>0</v>
      </c>
      <c r="BH225" s="8">
        <f t="shared" si="57"/>
        <v>0</v>
      </c>
      <c r="BI225" s="8">
        <f t="shared" si="58"/>
        <v>0</v>
      </c>
      <c r="BJ225" s="7" t="s">
        <v>2</v>
      </c>
      <c r="BK225" s="8">
        <f t="shared" si="59"/>
        <v>0</v>
      </c>
      <c r="BL225" s="7" t="s">
        <v>1</v>
      </c>
      <c r="BM225" s="6" t="s">
        <v>70</v>
      </c>
    </row>
    <row r="226" spans="2:65" s="2" customFormat="1" ht="16.5" customHeight="1">
      <c r="B226" s="3"/>
      <c r="C226" s="20" t="s">
        <v>69</v>
      </c>
      <c r="D226" s="20" t="s">
        <v>4</v>
      </c>
      <c r="E226" s="19" t="s">
        <v>68</v>
      </c>
      <c r="F226" s="14" t="s">
        <v>67</v>
      </c>
      <c r="G226" s="18" t="s">
        <v>8</v>
      </c>
      <c r="H226" s="17">
        <v>3</v>
      </c>
      <c r="I226" s="16"/>
      <c r="J226" s="15">
        <f t="shared" si="50"/>
        <v>0</v>
      </c>
      <c r="K226" s="14" t="s">
        <v>7</v>
      </c>
      <c r="L226" s="3"/>
      <c r="M226" s="24" t="s">
        <v>6</v>
      </c>
      <c r="N226" s="23" t="s">
        <v>5</v>
      </c>
      <c r="P226" s="22">
        <f t="shared" si="51"/>
        <v>0</v>
      </c>
      <c r="Q226" s="22">
        <v>0</v>
      </c>
      <c r="R226" s="22">
        <f t="shared" si="52"/>
        <v>0</v>
      </c>
      <c r="S226" s="22">
        <v>0</v>
      </c>
      <c r="T226" s="21">
        <f t="shared" si="53"/>
        <v>0</v>
      </c>
      <c r="AR226" s="6" t="s">
        <v>1</v>
      </c>
      <c r="AT226" s="6" t="s">
        <v>4</v>
      </c>
      <c r="AU226" s="6" t="s">
        <v>2</v>
      </c>
      <c r="AY226" s="7" t="s">
        <v>3</v>
      </c>
      <c r="BE226" s="8">
        <f t="shared" si="54"/>
        <v>0</v>
      </c>
      <c r="BF226" s="8">
        <f t="shared" si="55"/>
        <v>0</v>
      </c>
      <c r="BG226" s="8">
        <f t="shared" si="56"/>
        <v>0</v>
      </c>
      <c r="BH226" s="8">
        <f t="shared" si="57"/>
        <v>0</v>
      </c>
      <c r="BI226" s="8">
        <f t="shared" si="58"/>
        <v>0</v>
      </c>
      <c r="BJ226" s="7" t="s">
        <v>2</v>
      </c>
      <c r="BK226" s="8">
        <f t="shared" si="59"/>
        <v>0</v>
      </c>
      <c r="BL226" s="7" t="s">
        <v>1</v>
      </c>
      <c r="BM226" s="6" t="s">
        <v>66</v>
      </c>
    </row>
    <row r="227" spans="2:65" s="2" customFormat="1" ht="16.5" customHeight="1">
      <c r="B227" s="3"/>
      <c r="C227" s="20" t="s">
        <v>65</v>
      </c>
      <c r="D227" s="20" t="s">
        <v>4</v>
      </c>
      <c r="E227" s="19" t="s">
        <v>64</v>
      </c>
      <c r="F227" s="14" t="s">
        <v>63</v>
      </c>
      <c r="G227" s="18" t="s">
        <v>8</v>
      </c>
      <c r="H227" s="17">
        <v>1</v>
      </c>
      <c r="I227" s="16"/>
      <c r="J227" s="15">
        <f t="shared" si="50"/>
        <v>0</v>
      </c>
      <c r="K227" s="14" t="s">
        <v>7</v>
      </c>
      <c r="L227" s="3"/>
      <c r="M227" s="24" t="s">
        <v>6</v>
      </c>
      <c r="N227" s="23" t="s">
        <v>5</v>
      </c>
      <c r="P227" s="22">
        <f t="shared" si="51"/>
        <v>0</v>
      </c>
      <c r="Q227" s="22">
        <v>0</v>
      </c>
      <c r="R227" s="22">
        <f t="shared" si="52"/>
        <v>0</v>
      </c>
      <c r="S227" s="22">
        <v>0</v>
      </c>
      <c r="T227" s="21">
        <f t="shared" si="53"/>
        <v>0</v>
      </c>
      <c r="AR227" s="6" t="s">
        <v>1</v>
      </c>
      <c r="AT227" s="6" t="s">
        <v>4</v>
      </c>
      <c r="AU227" s="6" t="s">
        <v>2</v>
      </c>
      <c r="AY227" s="7" t="s">
        <v>3</v>
      </c>
      <c r="BE227" s="8">
        <f t="shared" si="54"/>
        <v>0</v>
      </c>
      <c r="BF227" s="8">
        <f t="shared" si="55"/>
        <v>0</v>
      </c>
      <c r="BG227" s="8">
        <f t="shared" si="56"/>
        <v>0</v>
      </c>
      <c r="BH227" s="8">
        <f t="shared" si="57"/>
        <v>0</v>
      </c>
      <c r="BI227" s="8">
        <f t="shared" si="58"/>
        <v>0</v>
      </c>
      <c r="BJ227" s="7" t="s">
        <v>2</v>
      </c>
      <c r="BK227" s="8">
        <f t="shared" si="59"/>
        <v>0</v>
      </c>
      <c r="BL227" s="7" t="s">
        <v>1</v>
      </c>
      <c r="BM227" s="6" t="s">
        <v>62</v>
      </c>
    </row>
    <row r="228" spans="2:65" s="2" customFormat="1" ht="16.5" customHeight="1">
      <c r="B228" s="3"/>
      <c r="C228" s="20" t="s">
        <v>61</v>
      </c>
      <c r="D228" s="20" t="s">
        <v>4</v>
      </c>
      <c r="E228" s="19" t="s">
        <v>60</v>
      </c>
      <c r="F228" s="14" t="s">
        <v>59</v>
      </c>
      <c r="G228" s="18" t="s">
        <v>8</v>
      </c>
      <c r="H228" s="17">
        <v>1</v>
      </c>
      <c r="I228" s="16"/>
      <c r="J228" s="15">
        <f t="shared" si="50"/>
        <v>0</v>
      </c>
      <c r="K228" s="14" t="s">
        <v>7</v>
      </c>
      <c r="L228" s="3"/>
      <c r="M228" s="24" t="s">
        <v>6</v>
      </c>
      <c r="N228" s="23" t="s">
        <v>5</v>
      </c>
      <c r="P228" s="22">
        <f t="shared" si="51"/>
        <v>0</v>
      </c>
      <c r="Q228" s="22">
        <v>0</v>
      </c>
      <c r="R228" s="22">
        <f t="shared" si="52"/>
        <v>0</v>
      </c>
      <c r="S228" s="22">
        <v>0</v>
      </c>
      <c r="T228" s="21">
        <f t="shared" si="53"/>
        <v>0</v>
      </c>
      <c r="AR228" s="6" t="s">
        <v>1</v>
      </c>
      <c r="AT228" s="6" t="s">
        <v>4</v>
      </c>
      <c r="AU228" s="6" t="s">
        <v>2</v>
      </c>
      <c r="AY228" s="7" t="s">
        <v>3</v>
      </c>
      <c r="BE228" s="8">
        <f t="shared" si="54"/>
        <v>0</v>
      </c>
      <c r="BF228" s="8">
        <f t="shared" si="55"/>
        <v>0</v>
      </c>
      <c r="BG228" s="8">
        <f t="shared" si="56"/>
        <v>0</v>
      </c>
      <c r="BH228" s="8">
        <f t="shared" si="57"/>
        <v>0</v>
      </c>
      <c r="BI228" s="8">
        <f t="shared" si="58"/>
        <v>0</v>
      </c>
      <c r="BJ228" s="7" t="s">
        <v>2</v>
      </c>
      <c r="BK228" s="8">
        <f t="shared" si="59"/>
        <v>0</v>
      </c>
      <c r="BL228" s="7" t="s">
        <v>1</v>
      </c>
      <c r="BM228" s="6" t="s">
        <v>58</v>
      </c>
    </row>
    <row r="229" spans="2:65" s="2" customFormat="1" ht="16.5" customHeight="1">
      <c r="B229" s="3"/>
      <c r="C229" s="20" t="s">
        <v>57</v>
      </c>
      <c r="D229" s="20" t="s">
        <v>4</v>
      </c>
      <c r="E229" s="19" t="s">
        <v>56</v>
      </c>
      <c r="F229" s="14" t="s">
        <v>55</v>
      </c>
      <c r="G229" s="18" t="s">
        <v>21</v>
      </c>
      <c r="H229" s="17">
        <v>5</v>
      </c>
      <c r="I229" s="16"/>
      <c r="J229" s="15">
        <f t="shared" si="50"/>
        <v>0</v>
      </c>
      <c r="K229" s="14" t="s">
        <v>7</v>
      </c>
      <c r="L229" s="3"/>
      <c r="M229" s="24" t="s">
        <v>6</v>
      </c>
      <c r="N229" s="23" t="s">
        <v>5</v>
      </c>
      <c r="P229" s="22">
        <f t="shared" si="51"/>
        <v>0</v>
      </c>
      <c r="Q229" s="22">
        <v>0</v>
      </c>
      <c r="R229" s="22">
        <f t="shared" si="52"/>
        <v>0</v>
      </c>
      <c r="S229" s="22">
        <v>0</v>
      </c>
      <c r="T229" s="21">
        <f t="shared" si="53"/>
        <v>0</v>
      </c>
      <c r="AR229" s="6" t="s">
        <v>1</v>
      </c>
      <c r="AT229" s="6" t="s">
        <v>4</v>
      </c>
      <c r="AU229" s="6" t="s">
        <v>2</v>
      </c>
      <c r="AY229" s="7" t="s">
        <v>3</v>
      </c>
      <c r="BE229" s="8">
        <f t="shared" si="54"/>
        <v>0</v>
      </c>
      <c r="BF229" s="8">
        <f t="shared" si="55"/>
        <v>0</v>
      </c>
      <c r="BG229" s="8">
        <f t="shared" si="56"/>
        <v>0</v>
      </c>
      <c r="BH229" s="8">
        <f t="shared" si="57"/>
        <v>0</v>
      </c>
      <c r="BI229" s="8">
        <f t="shared" si="58"/>
        <v>0</v>
      </c>
      <c r="BJ229" s="7" t="s">
        <v>2</v>
      </c>
      <c r="BK229" s="8">
        <f t="shared" si="59"/>
        <v>0</v>
      </c>
      <c r="BL229" s="7" t="s">
        <v>1</v>
      </c>
      <c r="BM229" s="6" t="s">
        <v>54</v>
      </c>
    </row>
    <row r="230" spans="2:65" s="25" customFormat="1" ht="25.9" customHeight="1">
      <c r="B230" s="32"/>
      <c r="D230" s="27" t="s">
        <v>26</v>
      </c>
      <c r="E230" s="35" t="s">
        <v>53</v>
      </c>
      <c r="F230" s="35" t="s">
        <v>52</v>
      </c>
      <c r="I230" s="34"/>
      <c r="J230" s="33">
        <f>BK230</f>
        <v>0</v>
      </c>
      <c r="L230" s="32"/>
      <c r="M230" s="31"/>
      <c r="P230" s="30">
        <f>SUM(P231:P236)</f>
        <v>0</v>
      </c>
      <c r="R230" s="30">
        <f>SUM(R231:R236)</f>
        <v>0</v>
      </c>
      <c r="T230" s="29">
        <f>SUM(T231:T236)</f>
        <v>0</v>
      </c>
      <c r="AR230" s="27" t="s">
        <v>2</v>
      </c>
      <c r="AT230" s="28" t="s">
        <v>26</v>
      </c>
      <c r="AU230" s="28" t="s">
        <v>25</v>
      </c>
      <c r="AY230" s="27" t="s">
        <v>3</v>
      </c>
      <c r="BK230" s="26">
        <f>SUM(BK231:BK236)</f>
        <v>0</v>
      </c>
    </row>
    <row r="231" spans="2:65" s="2" customFormat="1" ht="16.5" customHeight="1">
      <c r="B231" s="3"/>
      <c r="C231" s="20" t="s">
        <v>51</v>
      </c>
      <c r="D231" s="20" t="s">
        <v>4</v>
      </c>
      <c r="E231" s="19" t="s">
        <v>50</v>
      </c>
      <c r="F231" s="14" t="s">
        <v>49</v>
      </c>
      <c r="G231" s="18" t="s">
        <v>21</v>
      </c>
      <c r="H231" s="17">
        <v>11</v>
      </c>
      <c r="I231" s="16"/>
      <c r="J231" s="15">
        <f t="shared" ref="J231:J236" si="60">ROUND(I231*H231,2)</f>
        <v>0</v>
      </c>
      <c r="K231" s="14" t="s">
        <v>7</v>
      </c>
      <c r="L231" s="3"/>
      <c r="M231" s="24" t="s">
        <v>6</v>
      </c>
      <c r="N231" s="23" t="s">
        <v>5</v>
      </c>
      <c r="P231" s="22">
        <f t="shared" ref="P231:P236" si="61">O231*H231</f>
        <v>0</v>
      </c>
      <c r="Q231" s="22">
        <v>0</v>
      </c>
      <c r="R231" s="22">
        <f t="shared" ref="R231:R236" si="62">Q231*H231</f>
        <v>0</v>
      </c>
      <c r="S231" s="22">
        <v>0</v>
      </c>
      <c r="T231" s="21">
        <f t="shared" ref="T231:T236" si="63">S231*H231</f>
        <v>0</v>
      </c>
      <c r="AR231" s="6" t="s">
        <v>1</v>
      </c>
      <c r="AT231" s="6" t="s">
        <v>4</v>
      </c>
      <c r="AU231" s="6" t="s">
        <v>2</v>
      </c>
      <c r="AY231" s="7" t="s">
        <v>3</v>
      </c>
      <c r="BE231" s="8">
        <f t="shared" ref="BE231:BE236" si="64">IF(N231="základní",J231,0)</f>
        <v>0</v>
      </c>
      <c r="BF231" s="8">
        <f t="shared" ref="BF231:BF236" si="65">IF(N231="snížená",J231,0)</f>
        <v>0</v>
      </c>
      <c r="BG231" s="8">
        <f t="shared" ref="BG231:BG236" si="66">IF(N231="zákl. přenesená",J231,0)</f>
        <v>0</v>
      </c>
      <c r="BH231" s="8">
        <f t="shared" ref="BH231:BH236" si="67">IF(N231="sníž. přenesená",J231,0)</f>
        <v>0</v>
      </c>
      <c r="BI231" s="8">
        <f t="shared" ref="BI231:BI236" si="68">IF(N231="nulová",J231,0)</f>
        <v>0</v>
      </c>
      <c r="BJ231" s="7" t="s">
        <v>2</v>
      </c>
      <c r="BK231" s="8">
        <f t="shared" ref="BK231:BK236" si="69">ROUND(I231*H231,2)</f>
        <v>0</v>
      </c>
      <c r="BL231" s="7" t="s">
        <v>1</v>
      </c>
      <c r="BM231" s="6" t="s">
        <v>48</v>
      </c>
    </row>
    <row r="232" spans="2:65" s="2" customFormat="1" ht="24.2" customHeight="1">
      <c r="B232" s="3"/>
      <c r="C232" s="20" t="s">
        <v>47</v>
      </c>
      <c r="D232" s="20" t="s">
        <v>4</v>
      </c>
      <c r="E232" s="19" t="s">
        <v>46</v>
      </c>
      <c r="F232" s="14" t="s">
        <v>45</v>
      </c>
      <c r="G232" s="18" t="s">
        <v>30</v>
      </c>
      <c r="H232" s="17">
        <v>2</v>
      </c>
      <c r="I232" s="16"/>
      <c r="J232" s="15">
        <f t="shared" si="60"/>
        <v>0</v>
      </c>
      <c r="K232" s="14" t="s">
        <v>7</v>
      </c>
      <c r="L232" s="3"/>
      <c r="M232" s="24" t="s">
        <v>6</v>
      </c>
      <c r="N232" s="23" t="s">
        <v>5</v>
      </c>
      <c r="P232" s="22">
        <f t="shared" si="61"/>
        <v>0</v>
      </c>
      <c r="Q232" s="22">
        <v>0</v>
      </c>
      <c r="R232" s="22">
        <f t="shared" si="62"/>
        <v>0</v>
      </c>
      <c r="S232" s="22">
        <v>0</v>
      </c>
      <c r="T232" s="21">
        <f t="shared" si="63"/>
        <v>0</v>
      </c>
      <c r="AR232" s="6" t="s">
        <v>1</v>
      </c>
      <c r="AT232" s="6" t="s">
        <v>4</v>
      </c>
      <c r="AU232" s="6" t="s">
        <v>2</v>
      </c>
      <c r="AY232" s="7" t="s">
        <v>3</v>
      </c>
      <c r="BE232" s="8">
        <f t="shared" si="64"/>
        <v>0</v>
      </c>
      <c r="BF232" s="8">
        <f t="shared" si="65"/>
        <v>0</v>
      </c>
      <c r="BG232" s="8">
        <f t="shared" si="66"/>
        <v>0</v>
      </c>
      <c r="BH232" s="8">
        <f t="shared" si="67"/>
        <v>0</v>
      </c>
      <c r="BI232" s="8">
        <f t="shared" si="68"/>
        <v>0</v>
      </c>
      <c r="BJ232" s="7" t="s">
        <v>2</v>
      </c>
      <c r="BK232" s="8">
        <f t="shared" si="69"/>
        <v>0</v>
      </c>
      <c r="BL232" s="7" t="s">
        <v>1</v>
      </c>
      <c r="BM232" s="6" t="s">
        <v>44</v>
      </c>
    </row>
    <row r="233" spans="2:65" s="2" customFormat="1" ht="16.5" customHeight="1">
      <c r="B233" s="3"/>
      <c r="C233" s="20" t="s">
        <v>43</v>
      </c>
      <c r="D233" s="20" t="s">
        <v>4</v>
      </c>
      <c r="E233" s="19" t="s">
        <v>42</v>
      </c>
      <c r="F233" s="14" t="s">
        <v>13</v>
      </c>
      <c r="G233" s="18" t="s">
        <v>8</v>
      </c>
      <c r="H233" s="17">
        <v>5</v>
      </c>
      <c r="I233" s="16"/>
      <c r="J233" s="15">
        <f t="shared" si="60"/>
        <v>0</v>
      </c>
      <c r="K233" s="14" t="s">
        <v>7</v>
      </c>
      <c r="L233" s="3"/>
      <c r="M233" s="24" t="s">
        <v>6</v>
      </c>
      <c r="N233" s="23" t="s">
        <v>5</v>
      </c>
      <c r="P233" s="22">
        <f t="shared" si="61"/>
        <v>0</v>
      </c>
      <c r="Q233" s="22">
        <v>0</v>
      </c>
      <c r="R233" s="22">
        <f t="shared" si="62"/>
        <v>0</v>
      </c>
      <c r="S233" s="22">
        <v>0</v>
      </c>
      <c r="T233" s="21">
        <f t="shared" si="63"/>
        <v>0</v>
      </c>
      <c r="AR233" s="6" t="s">
        <v>1</v>
      </c>
      <c r="AT233" s="6" t="s">
        <v>4</v>
      </c>
      <c r="AU233" s="6" t="s">
        <v>2</v>
      </c>
      <c r="AY233" s="7" t="s">
        <v>3</v>
      </c>
      <c r="BE233" s="8">
        <f t="shared" si="64"/>
        <v>0</v>
      </c>
      <c r="BF233" s="8">
        <f t="shared" si="65"/>
        <v>0</v>
      </c>
      <c r="BG233" s="8">
        <f t="shared" si="66"/>
        <v>0</v>
      </c>
      <c r="BH233" s="8">
        <f t="shared" si="67"/>
        <v>0</v>
      </c>
      <c r="BI233" s="8">
        <f t="shared" si="68"/>
        <v>0</v>
      </c>
      <c r="BJ233" s="7" t="s">
        <v>2</v>
      </c>
      <c r="BK233" s="8">
        <f t="shared" si="69"/>
        <v>0</v>
      </c>
      <c r="BL233" s="7" t="s">
        <v>1</v>
      </c>
      <c r="BM233" s="6" t="s">
        <v>41</v>
      </c>
    </row>
    <row r="234" spans="2:65" s="2" customFormat="1" ht="16.5" customHeight="1">
      <c r="B234" s="3"/>
      <c r="C234" s="20" t="s">
        <v>40</v>
      </c>
      <c r="D234" s="20" t="s">
        <v>4</v>
      </c>
      <c r="E234" s="19" t="s">
        <v>39</v>
      </c>
      <c r="F234" s="14" t="s">
        <v>9</v>
      </c>
      <c r="G234" s="18" t="s">
        <v>8</v>
      </c>
      <c r="H234" s="17">
        <v>5</v>
      </c>
      <c r="I234" s="16"/>
      <c r="J234" s="15">
        <f t="shared" si="60"/>
        <v>0</v>
      </c>
      <c r="K234" s="14" t="s">
        <v>7</v>
      </c>
      <c r="L234" s="3"/>
      <c r="M234" s="24" t="s">
        <v>6</v>
      </c>
      <c r="N234" s="23" t="s">
        <v>5</v>
      </c>
      <c r="P234" s="22">
        <f t="shared" si="61"/>
        <v>0</v>
      </c>
      <c r="Q234" s="22">
        <v>0</v>
      </c>
      <c r="R234" s="22">
        <f t="shared" si="62"/>
        <v>0</v>
      </c>
      <c r="S234" s="22">
        <v>0</v>
      </c>
      <c r="T234" s="21">
        <f t="shared" si="63"/>
        <v>0</v>
      </c>
      <c r="AR234" s="6" t="s">
        <v>1</v>
      </c>
      <c r="AT234" s="6" t="s">
        <v>4</v>
      </c>
      <c r="AU234" s="6" t="s">
        <v>2</v>
      </c>
      <c r="AY234" s="7" t="s">
        <v>3</v>
      </c>
      <c r="BE234" s="8">
        <f t="shared" si="64"/>
        <v>0</v>
      </c>
      <c r="BF234" s="8">
        <f t="shared" si="65"/>
        <v>0</v>
      </c>
      <c r="BG234" s="8">
        <f t="shared" si="66"/>
        <v>0</v>
      </c>
      <c r="BH234" s="8">
        <f t="shared" si="67"/>
        <v>0</v>
      </c>
      <c r="BI234" s="8">
        <f t="shared" si="68"/>
        <v>0</v>
      </c>
      <c r="BJ234" s="7" t="s">
        <v>2</v>
      </c>
      <c r="BK234" s="8">
        <f t="shared" si="69"/>
        <v>0</v>
      </c>
      <c r="BL234" s="7" t="s">
        <v>1</v>
      </c>
      <c r="BM234" s="6" t="s">
        <v>38</v>
      </c>
    </row>
    <row r="235" spans="2:65" s="2" customFormat="1" ht="16.5" customHeight="1">
      <c r="B235" s="3"/>
      <c r="C235" s="20" t="s">
        <v>37</v>
      </c>
      <c r="D235" s="20" t="s">
        <v>4</v>
      </c>
      <c r="E235" s="19" t="s">
        <v>36</v>
      </c>
      <c r="F235" s="14" t="s">
        <v>35</v>
      </c>
      <c r="G235" s="18" t="s">
        <v>8</v>
      </c>
      <c r="H235" s="17">
        <v>5</v>
      </c>
      <c r="I235" s="16"/>
      <c r="J235" s="15">
        <f t="shared" si="60"/>
        <v>0</v>
      </c>
      <c r="K235" s="14" t="s">
        <v>7</v>
      </c>
      <c r="L235" s="3"/>
      <c r="M235" s="24" t="s">
        <v>6</v>
      </c>
      <c r="N235" s="23" t="s">
        <v>5</v>
      </c>
      <c r="P235" s="22">
        <f t="shared" si="61"/>
        <v>0</v>
      </c>
      <c r="Q235" s="22">
        <v>0</v>
      </c>
      <c r="R235" s="22">
        <f t="shared" si="62"/>
        <v>0</v>
      </c>
      <c r="S235" s="22">
        <v>0</v>
      </c>
      <c r="T235" s="21">
        <f t="shared" si="63"/>
        <v>0</v>
      </c>
      <c r="AR235" s="6" t="s">
        <v>1</v>
      </c>
      <c r="AT235" s="6" t="s">
        <v>4</v>
      </c>
      <c r="AU235" s="6" t="s">
        <v>2</v>
      </c>
      <c r="AY235" s="7" t="s">
        <v>3</v>
      </c>
      <c r="BE235" s="8">
        <f t="shared" si="64"/>
        <v>0</v>
      </c>
      <c r="BF235" s="8">
        <f t="shared" si="65"/>
        <v>0</v>
      </c>
      <c r="BG235" s="8">
        <f t="shared" si="66"/>
        <v>0</v>
      </c>
      <c r="BH235" s="8">
        <f t="shared" si="67"/>
        <v>0</v>
      </c>
      <c r="BI235" s="8">
        <f t="shared" si="68"/>
        <v>0</v>
      </c>
      <c r="BJ235" s="7" t="s">
        <v>2</v>
      </c>
      <c r="BK235" s="8">
        <f t="shared" si="69"/>
        <v>0</v>
      </c>
      <c r="BL235" s="7" t="s">
        <v>1</v>
      </c>
      <c r="BM235" s="6" t="s">
        <v>34</v>
      </c>
    </row>
    <row r="236" spans="2:65" s="2" customFormat="1" ht="16.5" customHeight="1">
      <c r="B236" s="3"/>
      <c r="C236" s="20" t="s">
        <v>33</v>
      </c>
      <c r="D236" s="20" t="s">
        <v>4</v>
      </c>
      <c r="E236" s="19" t="s">
        <v>32</v>
      </c>
      <c r="F236" s="14" t="s">
        <v>31</v>
      </c>
      <c r="G236" s="18" t="s">
        <v>30</v>
      </c>
      <c r="H236" s="17">
        <v>1</v>
      </c>
      <c r="I236" s="16"/>
      <c r="J236" s="15">
        <f t="shared" si="60"/>
        <v>0</v>
      </c>
      <c r="K236" s="14" t="s">
        <v>7</v>
      </c>
      <c r="L236" s="3"/>
      <c r="M236" s="24" t="s">
        <v>6</v>
      </c>
      <c r="N236" s="23" t="s">
        <v>5</v>
      </c>
      <c r="P236" s="22">
        <f t="shared" si="61"/>
        <v>0</v>
      </c>
      <c r="Q236" s="22">
        <v>0</v>
      </c>
      <c r="R236" s="22">
        <f t="shared" si="62"/>
        <v>0</v>
      </c>
      <c r="S236" s="22">
        <v>0</v>
      </c>
      <c r="T236" s="21">
        <f t="shared" si="63"/>
        <v>0</v>
      </c>
      <c r="AR236" s="6" t="s">
        <v>1</v>
      </c>
      <c r="AT236" s="6" t="s">
        <v>4</v>
      </c>
      <c r="AU236" s="6" t="s">
        <v>2</v>
      </c>
      <c r="AY236" s="7" t="s">
        <v>3</v>
      </c>
      <c r="BE236" s="8">
        <f t="shared" si="64"/>
        <v>0</v>
      </c>
      <c r="BF236" s="8">
        <f t="shared" si="65"/>
        <v>0</v>
      </c>
      <c r="BG236" s="8">
        <f t="shared" si="66"/>
        <v>0</v>
      </c>
      <c r="BH236" s="8">
        <f t="shared" si="67"/>
        <v>0</v>
      </c>
      <c r="BI236" s="8">
        <f t="shared" si="68"/>
        <v>0</v>
      </c>
      <c r="BJ236" s="7" t="s">
        <v>2</v>
      </c>
      <c r="BK236" s="8">
        <f t="shared" si="69"/>
        <v>0</v>
      </c>
      <c r="BL236" s="7" t="s">
        <v>1</v>
      </c>
      <c r="BM236" s="6" t="s">
        <v>29</v>
      </c>
    </row>
    <row r="237" spans="2:65" s="25" customFormat="1" ht="25.9" customHeight="1">
      <c r="B237" s="32"/>
      <c r="D237" s="27" t="s">
        <v>26</v>
      </c>
      <c r="E237" s="35" t="s">
        <v>28</v>
      </c>
      <c r="F237" s="35" t="s">
        <v>27</v>
      </c>
      <c r="I237" s="34"/>
      <c r="J237" s="33">
        <f>BK237</f>
        <v>0</v>
      </c>
      <c r="L237" s="32"/>
      <c r="M237" s="31"/>
      <c r="P237" s="30">
        <f>SUM(P238:P241)</f>
        <v>0</v>
      </c>
      <c r="R237" s="30">
        <f>SUM(R238:R241)</f>
        <v>0</v>
      </c>
      <c r="T237" s="29">
        <f>SUM(T238:T241)</f>
        <v>0</v>
      </c>
      <c r="AR237" s="27" t="s">
        <v>2</v>
      </c>
      <c r="AT237" s="28" t="s">
        <v>26</v>
      </c>
      <c r="AU237" s="28" t="s">
        <v>25</v>
      </c>
      <c r="AY237" s="27" t="s">
        <v>3</v>
      </c>
      <c r="BK237" s="26">
        <f>SUM(BK238:BK241)</f>
        <v>0</v>
      </c>
    </row>
    <row r="238" spans="2:65" s="2" customFormat="1" ht="16.5" customHeight="1">
      <c r="B238" s="3"/>
      <c r="C238" s="20" t="s">
        <v>24</v>
      </c>
      <c r="D238" s="20" t="s">
        <v>4</v>
      </c>
      <c r="E238" s="19" t="s">
        <v>23</v>
      </c>
      <c r="F238" s="14" t="s">
        <v>22</v>
      </c>
      <c r="G238" s="18" t="s">
        <v>21</v>
      </c>
      <c r="H238" s="17">
        <v>11</v>
      </c>
      <c r="I238" s="16"/>
      <c r="J238" s="15">
        <f>ROUND(I238*H238,2)</f>
        <v>0</v>
      </c>
      <c r="K238" s="14" t="s">
        <v>7</v>
      </c>
      <c r="L238" s="3"/>
      <c r="M238" s="24" t="s">
        <v>6</v>
      </c>
      <c r="N238" s="23" t="s">
        <v>5</v>
      </c>
      <c r="P238" s="22">
        <f>O238*H238</f>
        <v>0</v>
      </c>
      <c r="Q238" s="22">
        <v>0</v>
      </c>
      <c r="R238" s="22">
        <f>Q238*H238</f>
        <v>0</v>
      </c>
      <c r="S238" s="22">
        <v>0</v>
      </c>
      <c r="T238" s="21">
        <f>S238*H238</f>
        <v>0</v>
      </c>
      <c r="AR238" s="6" t="s">
        <v>1</v>
      </c>
      <c r="AT238" s="6" t="s">
        <v>4</v>
      </c>
      <c r="AU238" s="6" t="s">
        <v>2</v>
      </c>
      <c r="AY238" s="7" t="s">
        <v>3</v>
      </c>
      <c r="BE238" s="8">
        <f>IF(N238="základní",J238,0)</f>
        <v>0</v>
      </c>
      <c r="BF238" s="8">
        <f>IF(N238="snížená",J238,0)</f>
        <v>0</v>
      </c>
      <c r="BG238" s="8">
        <f>IF(N238="zákl. přenesená",J238,0)</f>
        <v>0</v>
      </c>
      <c r="BH238" s="8">
        <f>IF(N238="sníž. přenesená",J238,0)</f>
        <v>0</v>
      </c>
      <c r="BI238" s="8">
        <f>IF(N238="nulová",J238,0)</f>
        <v>0</v>
      </c>
      <c r="BJ238" s="7" t="s">
        <v>2</v>
      </c>
      <c r="BK238" s="8">
        <f>ROUND(I238*H238,2)</f>
        <v>0</v>
      </c>
      <c r="BL238" s="7" t="s">
        <v>1</v>
      </c>
      <c r="BM238" s="6" t="s">
        <v>20</v>
      </c>
    </row>
    <row r="239" spans="2:65" s="2" customFormat="1" ht="16.5" customHeight="1">
      <c r="B239" s="3"/>
      <c r="C239" s="20" t="s">
        <v>19</v>
      </c>
      <c r="D239" s="20" t="s">
        <v>4</v>
      </c>
      <c r="E239" s="19" t="s">
        <v>18</v>
      </c>
      <c r="F239" s="14" t="s">
        <v>17</v>
      </c>
      <c r="G239" s="18" t="s">
        <v>8</v>
      </c>
      <c r="H239" s="17">
        <v>7</v>
      </c>
      <c r="I239" s="16"/>
      <c r="J239" s="15">
        <f>ROUND(I239*H239,2)</f>
        <v>0</v>
      </c>
      <c r="K239" s="14" t="s">
        <v>7</v>
      </c>
      <c r="L239" s="3"/>
      <c r="M239" s="24" t="s">
        <v>6</v>
      </c>
      <c r="N239" s="23" t="s">
        <v>5</v>
      </c>
      <c r="P239" s="22">
        <f>O239*H239</f>
        <v>0</v>
      </c>
      <c r="Q239" s="22">
        <v>0</v>
      </c>
      <c r="R239" s="22">
        <f>Q239*H239</f>
        <v>0</v>
      </c>
      <c r="S239" s="22">
        <v>0</v>
      </c>
      <c r="T239" s="21">
        <f>S239*H239</f>
        <v>0</v>
      </c>
      <c r="AR239" s="6" t="s">
        <v>1</v>
      </c>
      <c r="AT239" s="6" t="s">
        <v>4</v>
      </c>
      <c r="AU239" s="6" t="s">
        <v>2</v>
      </c>
      <c r="AY239" s="7" t="s">
        <v>3</v>
      </c>
      <c r="BE239" s="8">
        <f>IF(N239="základní",J239,0)</f>
        <v>0</v>
      </c>
      <c r="BF239" s="8">
        <f>IF(N239="snížená",J239,0)</f>
        <v>0</v>
      </c>
      <c r="BG239" s="8">
        <f>IF(N239="zákl. přenesená",J239,0)</f>
        <v>0</v>
      </c>
      <c r="BH239" s="8">
        <f>IF(N239="sníž. přenesená",J239,0)</f>
        <v>0</v>
      </c>
      <c r="BI239" s="8">
        <f>IF(N239="nulová",J239,0)</f>
        <v>0</v>
      </c>
      <c r="BJ239" s="7" t="s">
        <v>2</v>
      </c>
      <c r="BK239" s="8">
        <f>ROUND(I239*H239,2)</f>
        <v>0</v>
      </c>
      <c r="BL239" s="7" t="s">
        <v>1</v>
      </c>
      <c r="BM239" s="6" t="s">
        <v>16</v>
      </c>
    </row>
    <row r="240" spans="2:65" s="2" customFormat="1" ht="16.5" customHeight="1">
      <c r="B240" s="3"/>
      <c r="C240" s="20" t="s">
        <v>15</v>
      </c>
      <c r="D240" s="20" t="s">
        <v>4</v>
      </c>
      <c r="E240" s="19" t="s">
        <v>14</v>
      </c>
      <c r="F240" s="14" t="s">
        <v>13</v>
      </c>
      <c r="G240" s="18" t="s">
        <v>8</v>
      </c>
      <c r="H240" s="17">
        <v>5</v>
      </c>
      <c r="I240" s="16"/>
      <c r="J240" s="15">
        <f>ROUND(I240*H240,2)</f>
        <v>0</v>
      </c>
      <c r="K240" s="14" t="s">
        <v>7</v>
      </c>
      <c r="L240" s="3"/>
      <c r="M240" s="24" t="s">
        <v>6</v>
      </c>
      <c r="N240" s="23" t="s">
        <v>5</v>
      </c>
      <c r="P240" s="22">
        <f>O240*H240</f>
        <v>0</v>
      </c>
      <c r="Q240" s="22">
        <v>0</v>
      </c>
      <c r="R240" s="22">
        <f>Q240*H240</f>
        <v>0</v>
      </c>
      <c r="S240" s="22">
        <v>0</v>
      </c>
      <c r="T240" s="21">
        <f>S240*H240</f>
        <v>0</v>
      </c>
      <c r="AR240" s="6" t="s">
        <v>1</v>
      </c>
      <c r="AT240" s="6" t="s">
        <v>4</v>
      </c>
      <c r="AU240" s="6" t="s">
        <v>2</v>
      </c>
      <c r="AY240" s="7" t="s">
        <v>3</v>
      </c>
      <c r="BE240" s="8">
        <f>IF(N240="základní",J240,0)</f>
        <v>0</v>
      </c>
      <c r="BF240" s="8">
        <f>IF(N240="snížená",J240,0)</f>
        <v>0</v>
      </c>
      <c r="BG240" s="8">
        <f>IF(N240="zákl. přenesená",J240,0)</f>
        <v>0</v>
      </c>
      <c r="BH240" s="8">
        <f>IF(N240="sníž. přenesená",J240,0)</f>
        <v>0</v>
      </c>
      <c r="BI240" s="8">
        <f>IF(N240="nulová",J240,0)</f>
        <v>0</v>
      </c>
      <c r="BJ240" s="7" t="s">
        <v>2</v>
      </c>
      <c r="BK240" s="8">
        <f>ROUND(I240*H240,2)</f>
        <v>0</v>
      </c>
      <c r="BL240" s="7" t="s">
        <v>1</v>
      </c>
      <c r="BM240" s="6" t="s">
        <v>12</v>
      </c>
    </row>
    <row r="241" spans="2:65" s="2" customFormat="1" ht="16.5" customHeight="1">
      <c r="B241" s="3"/>
      <c r="C241" s="20" t="s">
        <v>11</v>
      </c>
      <c r="D241" s="20" t="s">
        <v>4</v>
      </c>
      <c r="E241" s="19" t="s">
        <v>10</v>
      </c>
      <c r="F241" s="14" t="s">
        <v>9</v>
      </c>
      <c r="G241" s="18" t="s">
        <v>8</v>
      </c>
      <c r="H241" s="17">
        <v>5</v>
      </c>
      <c r="I241" s="16"/>
      <c r="J241" s="15">
        <f>ROUND(I241*H241,2)</f>
        <v>0</v>
      </c>
      <c r="K241" s="14" t="s">
        <v>7</v>
      </c>
      <c r="L241" s="3"/>
      <c r="M241" s="13" t="s">
        <v>6</v>
      </c>
      <c r="N241" s="12" t="s">
        <v>5</v>
      </c>
      <c r="O241" s="11"/>
      <c r="P241" s="10">
        <f>O241*H241</f>
        <v>0</v>
      </c>
      <c r="Q241" s="10">
        <v>0</v>
      </c>
      <c r="R241" s="10">
        <f>Q241*H241</f>
        <v>0</v>
      </c>
      <c r="S241" s="10">
        <v>0</v>
      </c>
      <c r="T241" s="9">
        <f>S241*H241</f>
        <v>0</v>
      </c>
      <c r="AR241" s="6" t="s">
        <v>1</v>
      </c>
      <c r="AT241" s="6" t="s">
        <v>4</v>
      </c>
      <c r="AU241" s="6" t="s">
        <v>2</v>
      </c>
      <c r="AY241" s="7" t="s">
        <v>3</v>
      </c>
      <c r="BE241" s="8">
        <f>IF(N241="základní",J241,0)</f>
        <v>0</v>
      </c>
      <c r="BF241" s="8">
        <f>IF(N241="snížená",J241,0)</f>
        <v>0</v>
      </c>
      <c r="BG241" s="8">
        <f>IF(N241="zákl. přenesená",J241,0)</f>
        <v>0</v>
      </c>
      <c r="BH241" s="8">
        <f>IF(N241="sníž. přenesená",J241,0)</f>
        <v>0</v>
      </c>
      <c r="BI241" s="8">
        <f>IF(N241="nulová",J241,0)</f>
        <v>0</v>
      </c>
      <c r="BJ241" s="7" t="s">
        <v>2</v>
      </c>
      <c r="BK241" s="8">
        <f>ROUND(I241*H241,2)</f>
        <v>0</v>
      </c>
      <c r="BL241" s="7" t="s">
        <v>1</v>
      </c>
      <c r="BM241" s="6" t="s">
        <v>0</v>
      </c>
    </row>
    <row r="242" spans="2:65" s="2" customFormat="1" ht="6.95" customHeight="1">
      <c r="B242" s="5"/>
      <c r="C242" s="4"/>
      <c r="D242" s="4"/>
      <c r="E242" s="4"/>
      <c r="F242" s="4"/>
      <c r="G242" s="4"/>
      <c r="H242" s="4"/>
      <c r="I242" s="4"/>
      <c r="J242" s="4"/>
      <c r="K242" s="4"/>
      <c r="L242" s="3"/>
    </row>
  </sheetData>
  <sheetProtection algorithmName="SHA-512" hashValue="5rfso44j8aUZtVyaY+ChsBiFCzpVIfJ85PvdEUEmoROKv/YQ+Mgs4WHbV/Xz4K3/ENxOgKChIoYIeuCPcrBVEg==" saltValue="6NMC4q4bNxr7YLnJuQIhMvuVzRTdpAyd3desGUmKewcYx/wy582cxCysEA6wYEDGI3S4qeGUQlGr/6v5k1IgVA==" spinCount="100000" sheet="1" objects="1" scenarios="1" formatColumns="0" formatRows="0" autoFilter="0"/>
  <autoFilter ref="C125:K241" xr:uid="{00000000-0009-0000-0000-000001000000}"/>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D4FC-756A-4055-B518-D99CAE7EC1E8}">
  <sheetPr>
    <pageSetUpPr fitToPage="1"/>
  </sheetPr>
  <dimension ref="B2:BM398"/>
  <sheetViews>
    <sheetView showGridLines="0" tabSelected="1" workbookViewId="0">
      <selection activeCell="I92" sqref="I92"/>
    </sheetView>
  </sheetViews>
  <sheetFormatPr defaultRowHeight="11.25"/>
  <cols>
    <col min="1" max="1" width="7.140625" style="1" customWidth="1"/>
    <col min="2" max="2" width="1" style="1" customWidth="1"/>
    <col min="3" max="3" width="3.5703125" style="1" customWidth="1"/>
    <col min="4" max="4" width="3.7109375" style="1" customWidth="1"/>
    <col min="5" max="5" width="14.7109375" style="1" customWidth="1"/>
    <col min="6" max="6" width="86.42578125" style="1" customWidth="1"/>
    <col min="7" max="7" width="6.42578125" style="1" customWidth="1"/>
    <col min="8" max="8" width="12" style="1" customWidth="1"/>
    <col min="9" max="9" width="13.5703125" style="1" customWidth="1"/>
    <col min="10" max="11" width="19.140625" style="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c r="L2" s="260"/>
      <c r="M2" s="260"/>
      <c r="N2" s="260"/>
      <c r="O2" s="260"/>
      <c r="P2" s="260"/>
      <c r="Q2" s="260"/>
      <c r="R2" s="260"/>
      <c r="S2" s="260"/>
      <c r="T2" s="260"/>
      <c r="U2" s="260"/>
      <c r="V2" s="260"/>
      <c r="AT2" s="7" t="s">
        <v>1282</v>
      </c>
    </row>
    <row r="3" spans="2:46" ht="6.95" customHeight="1">
      <c r="B3" s="91"/>
      <c r="C3" s="90"/>
      <c r="D3" s="90"/>
      <c r="E3" s="90"/>
      <c r="F3" s="90"/>
      <c r="G3" s="90"/>
      <c r="H3" s="90"/>
      <c r="I3" s="90"/>
      <c r="J3" s="90"/>
      <c r="K3" s="90"/>
      <c r="L3" s="72"/>
      <c r="AT3" s="7" t="s">
        <v>365</v>
      </c>
    </row>
    <row r="4" spans="2:46" ht="24.95" customHeight="1">
      <c r="B4" s="72"/>
      <c r="D4" s="55" t="s">
        <v>440</v>
      </c>
      <c r="L4" s="72"/>
      <c r="M4" s="89" t="s">
        <v>439</v>
      </c>
      <c r="AT4" s="7" t="s">
        <v>438</v>
      </c>
    </row>
    <row r="5" spans="2:46" ht="6.95" customHeight="1">
      <c r="B5" s="72"/>
      <c r="L5" s="72"/>
    </row>
    <row r="6" spans="2:46" ht="12" customHeight="1">
      <c r="B6" s="72"/>
      <c r="D6" s="52" t="s">
        <v>395</v>
      </c>
      <c r="L6" s="72"/>
    </row>
    <row r="7" spans="2:46" ht="16.5" customHeight="1">
      <c r="B7" s="72"/>
      <c r="E7" s="258" t="s">
        <v>2057</v>
      </c>
      <c r="F7" s="259"/>
      <c r="G7" s="259"/>
      <c r="H7" s="259"/>
      <c r="L7" s="72"/>
    </row>
    <row r="8" spans="2:46" s="2" customFormat="1" ht="12" customHeight="1">
      <c r="B8" s="3"/>
      <c r="D8" s="52" t="s">
        <v>394</v>
      </c>
      <c r="L8" s="3"/>
    </row>
    <row r="9" spans="2:46" s="2" customFormat="1" ht="16.5" customHeight="1">
      <c r="B9" s="3"/>
      <c r="E9" s="256" t="s">
        <v>1281</v>
      </c>
      <c r="F9" s="257"/>
      <c r="G9" s="257"/>
      <c r="H9" s="257"/>
      <c r="L9" s="3"/>
    </row>
    <row r="10" spans="2:46" s="2" customFormat="1">
      <c r="B10" s="3"/>
      <c r="L10" s="3"/>
    </row>
    <row r="11" spans="2:46" s="2" customFormat="1" ht="12" customHeight="1">
      <c r="B11" s="3"/>
      <c r="D11" s="52" t="s">
        <v>436</v>
      </c>
      <c r="F11" s="53" t="s">
        <v>1280</v>
      </c>
      <c r="I11" s="52" t="s">
        <v>435</v>
      </c>
      <c r="J11" s="53" t="s">
        <v>6</v>
      </c>
      <c r="L11" s="3"/>
    </row>
    <row r="12" spans="2:46" s="2" customFormat="1" ht="12" customHeight="1">
      <c r="B12" s="3"/>
      <c r="D12" s="52" t="s">
        <v>393</v>
      </c>
      <c r="F12" s="53" t="s">
        <v>434</v>
      </c>
      <c r="I12" s="52" t="s">
        <v>392</v>
      </c>
      <c r="J12" s="54" t="s">
        <v>2058</v>
      </c>
      <c r="L12" s="3"/>
    </row>
    <row r="13" spans="2:46" s="2" customFormat="1" ht="10.9" customHeight="1">
      <c r="B13" s="3"/>
      <c r="L13" s="3"/>
    </row>
    <row r="14" spans="2:46" s="2" customFormat="1" ht="12" customHeight="1">
      <c r="B14" s="3"/>
      <c r="D14" s="52" t="s">
        <v>391</v>
      </c>
      <c r="I14" s="52" t="s">
        <v>429</v>
      </c>
      <c r="J14" s="53" t="s">
        <v>6</v>
      </c>
      <c r="L14" s="3"/>
    </row>
    <row r="15" spans="2:46" s="2" customFormat="1" ht="18" customHeight="1">
      <c r="B15" s="3"/>
      <c r="E15" s="53" t="s">
        <v>433</v>
      </c>
      <c r="I15" s="52" t="s">
        <v>428</v>
      </c>
      <c r="J15" s="53" t="s">
        <v>6</v>
      </c>
      <c r="L15" s="3"/>
    </row>
    <row r="16" spans="2:46" s="2" customFormat="1" ht="6.95" customHeight="1">
      <c r="B16" s="3"/>
      <c r="L16" s="3"/>
    </row>
    <row r="17" spans="2:12" s="2" customFormat="1" ht="12" customHeight="1">
      <c r="B17" s="3"/>
      <c r="D17" s="52" t="s">
        <v>389</v>
      </c>
      <c r="I17" s="52" t="s">
        <v>429</v>
      </c>
      <c r="J17" s="88" t="s">
        <v>2056</v>
      </c>
      <c r="L17" s="3"/>
    </row>
    <row r="18" spans="2:12" s="2" customFormat="1" ht="18" customHeight="1">
      <c r="B18" s="3"/>
      <c r="E18" s="261" t="s">
        <v>2056</v>
      </c>
      <c r="F18" s="262"/>
      <c r="G18" s="262"/>
      <c r="H18" s="262"/>
      <c r="I18" s="52" t="s">
        <v>428</v>
      </c>
      <c r="J18" s="88" t="s">
        <v>2056</v>
      </c>
      <c r="L18" s="3"/>
    </row>
    <row r="19" spans="2:12" s="2" customFormat="1" ht="6.95" customHeight="1">
      <c r="B19" s="3"/>
      <c r="L19" s="3"/>
    </row>
    <row r="20" spans="2:12" s="2" customFormat="1" ht="12" customHeight="1">
      <c r="B20" s="3"/>
      <c r="D20" s="52" t="s">
        <v>390</v>
      </c>
      <c r="I20" s="52" t="s">
        <v>429</v>
      </c>
      <c r="J20" s="53" t="s">
        <v>6</v>
      </c>
      <c r="L20" s="3"/>
    </row>
    <row r="21" spans="2:12" s="2" customFormat="1" ht="18" customHeight="1">
      <c r="B21" s="3"/>
      <c r="E21" s="53" t="s">
        <v>1279</v>
      </c>
      <c r="I21" s="52" t="s">
        <v>428</v>
      </c>
      <c r="J21" s="53" t="s">
        <v>6</v>
      </c>
      <c r="L21" s="3"/>
    </row>
    <row r="22" spans="2:12" s="2" customFormat="1" ht="6.95" customHeight="1">
      <c r="B22" s="3"/>
      <c r="L22" s="3"/>
    </row>
    <row r="23" spans="2:12" s="2" customFormat="1" ht="12" customHeight="1">
      <c r="B23" s="3"/>
      <c r="D23" s="52" t="s">
        <v>388</v>
      </c>
      <c r="I23" s="52" t="s">
        <v>429</v>
      </c>
      <c r="J23" s="53" t="s">
        <v>6</v>
      </c>
      <c r="L23" s="3"/>
    </row>
    <row r="24" spans="2:12" s="2" customFormat="1" ht="18" customHeight="1">
      <c r="B24" s="3"/>
      <c r="E24" s="53" t="s">
        <v>1305</v>
      </c>
      <c r="I24" s="52" t="s">
        <v>428</v>
      </c>
      <c r="J24" s="53" t="s">
        <v>6</v>
      </c>
      <c r="L24" s="3"/>
    </row>
    <row r="25" spans="2:12" s="2" customFormat="1" ht="6.95" customHeight="1">
      <c r="B25" s="3"/>
      <c r="L25" s="3"/>
    </row>
    <row r="26" spans="2:12" s="2" customFormat="1" ht="12" customHeight="1">
      <c r="B26" s="3"/>
      <c r="D26" s="52" t="s">
        <v>427</v>
      </c>
      <c r="L26" s="3"/>
    </row>
    <row r="27" spans="2:12" s="86" customFormat="1" ht="16.5" customHeight="1">
      <c r="B27" s="87"/>
      <c r="E27" s="263" t="s">
        <v>1278</v>
      </c>
      <c r="F27" s="263"/>
      <c r="G27" s="263"/>
      <c r="H27" s="263"/>
      <c r="L27" s="87"/>
    </row>
    <row r="28" spans="2:12" s="2" customFormat="1" ht="6.95" customHeight="1">
      <c r="B28" s="3"/>
      <c r="L28" s="3"/>
    </row>
    <row r="29" spans="2:12" s="2" customFormat="1" ht="6.95" customHeight="1">
      <c r="B29" s="3"/>
      <c r="D29" s="38"/>
      <c r="E29" s="38"/>
      <c r="F29" s="38"/>
      <c r="G29" s="38"/>
      <c r="H29" s="38"/>
      <c r="I29" s="38"/>
      <c r="J29" s="38"/>
      <c r="K29" s="38"/>
      <c r="L29" s="3"/>
    </row>
    <row r="30" spans="2:12" s="2" customFormat="1" ht="25.35" customHeight="1">
      <c r="B30" s="3"/>
      <c r="D30" s="85" t="s">
        <v>426</v>
      </c>
      <c r="J30" s="63">
        <f>ROUND(J89, 2)</f>
        <v>0</v>
      </c>
      <c r="L30" s="3"/>
    </row>
    <row r="31" spans="2:12" s="2" customFormat="1" ht="6.95" customHeight="1">
      <c r="B31" s="3"/>
      <c r="D31" s="38"/>
      <c r="E31" s="38"/>
      <c r="F31" s="38"/>
      <c r="G31" s="38"/>
      <c r="H31" s="38"/>
      <c r="I31" s="38"/>
      <c r="J31" s="38"/>
      <c r="K31" s="38"/>
      <c r="L31" s="3"/>
    </row>
    <row r="32" spans="2:12" s="2" customFormat="1" ht="14.45" customHeight="1">
      <c r="B32" s="3"/>
      <c r="F32" s="84" t="s">
        <v>425</v>
      </c>
      <c r="I32" s="84" t="s">
        <v>424</v>
      </c>
      <c r="J32" s="84" t="s">
        <v>423</v>
      </c>
      <c r="L32" s="3"/>
    </row>
    <row r="33" spans="2:12" s="2" customFormat="1" ht="14.45" customHeight="1">
      <c r="B33" s="3"/>
      <c r="D33" s="83" t="s">
        <v>378</v>
      </c>
      <c r="E33" s="52" t="s">
        <v>5</v>
      </c>
      <c r="F33" s="81">
        <f>ROUND((SUM(BE89:BE397)),  2)</f>
        <v>0</v>
      </c>
      <c r="I33" s="82">
        <v>0.21</v>
      </c>
      <c r="J33" s="81">
        <f>ROUND(((SUM(BE89:BE397))*I33),  2)</f>
        <v>0</v>
      </c>
      <c r="L33" s="3"/>
    </row>
    <row r="34" spans="2:12" s="2" customFormat="1" ht="14.45" customHeight="1">
      <c r="B34" s="3"/>
      <c r="E34" s="52" t="s">
        <v>422</v>
      </c>
      <c r="F34" s="81">
        <f>ROUND((SUM(BF89:BF397)),  2)</f>
        <v>0</v>
      </c>
      <c r="I34" s="82">
        <v>0.15</v>
      </c>
      <c r="J34" s="81">
        <f>ROUND(((SUM(BF89:BF397))*I34),  2)</f>
        <v>0</v>
      </c>
      <c r="L34" s="3"/>
    </row>
    <row r="35" spans="2:12" s="2" customFormat="1" ht="14.45" hidden="1" customHeight="1">
      <c r="B35" s="3"/>
      <c r="E35" s="52" t="s">
        <v>421</v>
      </c>
      <c r="F35" s="81">
        <f>ROUND((SUM(BG89:BG397)),  2)</f>
        <v>0</v>
      </c>
      <c r="I35" s="82">
        <v>0.21</v>
      </c>
      <c r="J35" s="81">
        <f>0</f>
        <v>0</v>
      </c>
      <c r="L35" s="3"/>
    </row>
    <row r="36" spans="2:12" s="2" customFormat="1" ht="14.45" hidden="1" customHeight="1">
      <c r="B36" s="3"/>
      <c r="E36" s="52" t="s">
        <v>420</v>
      </c>
      <c r="F36" s="81">
        <f>ROUND((SUM(BH89:BH397)),  2)</f>
        <v>0</v>
      </c>
      <c r="I36" s="82">
        <v>0.15</v>
      </c>
      <c r="J36" s="81">
        <f>0</f>
        <v>0</v>
      </c>
      <c r="L36" s="3"/>
    </row>
    <row r="37" spans="2:12" s="2" customFormat="1" ht="14.45" hidden="1" customHeight="1">
      <c r="B37" s="3"/>
      <c r="E37" s="52" t="s">
        <v>419</v>
      </c>
      <c r="F37" s="81">
        <f>ROUND((SUM(BI89:BI397)),  2)</f>
        <v>0</v>
      </c>
      <c r="I37" s="82">
        <v>0</v>
      </c>
      <c r="J37" s="81">
        <f>0</f>
        <v>0</v>
      </c>
      <c r="L37" s="3"/>
    </row>
    <row r="38" spans="2:12" s="2" customFormat="1" ht="6.95" customHeight="1">
      <c r="B38" s="3"/>
      <c r="L38" s="3"/>
    </row>
    <row r="39" spans="2:12" s="2" customFormat="1" ht="25.35" customHeight="1">
      <c r="B39" s="3"/>
      <c r="C39" s="65"/>
      <c r="D39" s="80" t="s">
        <v>418</v>
      </c>
      <c r="E39" s="77"/>
      <c r="F39" s="77"/>
      <c r="G39" s="79" t="s">
        <v>417</v>
      </c>
      <c r="H39" s="78" t="s">
        <v>416</v>
      </c>
      <c r="I39" s="77"/>
      <c r="J39" s="76">
        <f>SUM(J30:J37)</f>
        <v>0</v>
      </c>
      <c r="K39" s="75"/>
      <c r="L39" s="3"/>
    </row>
    <row r="40" spans="2:12" s="2" customFormat="1" ht="14.45" customHeight="1">
      <c r="B40" s="5"/>
      <c r="C40" s="4"/>
      <c r="D40" s="4"/>
      <c r="E40" s="4"/>
      <c r="F40" s="4"/>
      <c r="G40" s="4"/>
      <c r="H40" s="4"/>
      <c r="I40" s="4"/>
      <c r="J40" s="4"/>
      <c r="K40" s="4"/>
      <c r="L40" s="3"/>
    </row>
    <row r="44" spans="2:12" s="2" customFormat="1" ht="6.95" customHeight="1">
      <c r="B44" s="57"/>
      <c r="C44" s="56"/>
      <c r="D44" s="56"/>
      <c r="E44" s="56"/>
      <c r="F44" s="56"/>
      <c r="G44" s="56"/>
      <c r="H44" s="56"/>
      <c r="I44" s="56"/>
      <c r="J44" s="56"/>
      <c r="K44" s="56"/>
      <c r="L44" s="3"/>
    </row>
    <row r="45" spans="2:12" s="2" customFormat="1" ht="24.95" customHeight="1">
      <c r="B45" s="3"/>
      <c r="C45" s="55" t="s">
        <v>409</v>
      </c>
      <c r="L45" s="3"/>
    </row>
    <row r="46" spans="2:12" s="2" customFormat="1" ht="6.95" customHeight="1">
      <c r="B46" s="3"/>
      <c r="L46" s="3"/>
    </row>
    <row r="47" spans="2:12" s="2" customFormat="1" ht="12" customHeight="1">
      <c r="B47" s="3"/>
      <c r="C47" s="52" t="s">
        <v>395</v>
      </c>
      <c r="L47" s="3"/>
    </row>
    <row r="48" spans="2:12" s="2" customFormat="1" ht="16.5" customHeight="1">
      <c r="B48" s="3"/>
      <c r="E48" s="258" t="str">
        <f>E7</f>
        <v>Realizace úspor energie, areál NPK, a.s. Správní budova v Litomyšli - rekuperace (aktualizace 08/2022)</v>
      </c>
      <c r="F48" s="259"/>
      <c r="G48" s="259"/>
      <c r="H48" s="259"/>
      <c r="L48" s="3"/>
    </row>
    <row r="49" spans="2:47" s="2" customFormat="1" ht="12" customHeight="1">
      <c r="B49" s="3"/>
      <c r="C49" s="52" t="s">
        <v>394</v>
      </c>
      <c r="L49" s="3"/>
    </row>
    <row r="50" spans="2:47" s="2" customFormat="1" ht="16.5" customHeight="1">
      <c r="B50" s="3"/>
      <c r="E50" s="256" t="str">
        <f>E9</f>
        <v>D.1.4.2 - Zařízení pro vytápění staveb</v>
      </c>
      <c r="F50" s="257"/>
      <c r="G50" s="257"/>
      <c r="H50" s="257"/>
      <c r="L50" s="3"/>
    </row>
    <row r="51" spans="2:47" s="2" customFormat="1" ht="6.95" customHeight="1">
      <c r="B51" s="3"/>
      <c r="L51" s="3"/>
    </row>
    <row r="52" spans="2:47" s="2" customFormat="1" ht="12" customHeight="1">
      <c r="B52" s="3"/>
      <c r="C52" s="52" t="s">
        <v>393</v>
      </c>
      <c r="F52" s="53" t="str">
        <f>F12</f>
        <v>Litomyšl</v>
      </c>
      <c r="I52" s="52" t="s">
        <v>392</v>
      </c>
      <c r="J52" s="54" t="str">
        <f>IF(J12="","",J12)</f>
        <v>1. 8. 2022</v>
      </c>
      <c r="L52" s="3"/>
    </row>
    <row r="53" spans="2:47" s="2" customFormat="1" ht="6.95" customHeight="1">
      <c r="B53" s="3"/>
      <c r="L53" s="3"/>
    </row>
    <row r="54" spans="2:47" s="2" customFormat="1" ht="40.15" customHeight="1">
      <c r="B54" s="3"/>
      <c r="C54" s="52" t="s">
        <v>391</v>
      </c>
      <c r="F54" s="53" t="str">
        <f>E15</f>
        <v>Pardubický kraj,Komenského n.125,532 11 Pardubice</v>
      </c>
      <c r="I54" s="52" t="s">
        <v>390</v>
      </c>
      <c r="J54" s="51" t="str">
        <f>E21</f>
        <v>KIP s.r.o.Litomyšl projektant části:Ing.LiborSauer</v>
      </c>
      <c r="L54" s="3"/>
    </row>
    <row r="55" spans="2:47" s="2" customFormat="1" ht="15.2" customHeight="1">
      <c r="B55" s="3"/>
      <c r="C55" s="52" t="s">
        <v>389</v>
      </c>
      <c r="F55" s="53" t="str">
        <f>IF(E18="","",E18)</f>
        <v>Vyplň údaj</v>
      </c>
      <c r="I55" s="52" t="s">
        <v>388</v>
      </c>
      <c r="J55" s="51" t="str">
        <f>E24</f>
        <v xml:space="preserve"> </v>
      </c>
      <c r="L55" s="3"/>
    </row>
    <row r="56" spans="2:47" s="2" customFormat="1" ht="10.35" customHeight="1">
      <c r="B56" s="3"/>
      <c r="L56" s="3"/>
    </row>
    <row r="57" spans="2:47" s="2" customFormat="1" ht="29.25" customHeight="1">
      <c r="B57" s="3"/>
      <c r="C57" s="67" t="s">
        <v>408</v>
      </c>
      <c r="D57" s="65"/>
      <c r="E57" s="65"/>
      <c r="F57" s="65"/>
      <c r="G57" s="65"/>
      <c r="H57" s="65"/>
      <c r="I57" s="65"/>
      <c r="J57" s="66" t="s">
        <v>380</v>
      </c>
      <c r="K57" s="65"/>
      <c r="L57" s="3"/>
    </row>
    <row r="58" spans="2:47" s="2" customFormat="1" ht="10.35" customHeight="1">
      <c r="B58" s="3"/>
      <c r="L58" s="3"/>
    </row>
    <row r="59" spans="2:47" s="2" customFormat="1" ht="22.9" customHeight="1">
      <c r="B59" s="3"/>
      <c r="C59" s="64" t="s">
        <v>1277</v>
      </c>
      <c r="J59" s="63">
        <f>J89</f>
        <v>0</v>
      </c>
      <c r="L59" s="3"/>
      <c r="AU59" s="7" t="s">
        <v>370</v>
      </c>
    </row>
    <row r="60" spans="2:47" s="58" customFormat="1" ht="24.95" customHeight="1">
      <c r="B60" s="59"/>
      <c r="D60" s="62" t="s">
        <v>1276</v>
      </c>
      <c r="E60" s="61"/>
      <c r="F60" s="61"/>
      <c r="G60" s="61"/>
      <c r="H60" s="61"/>
      <c r="I60" s="61"/>
      <c r="J60" s="60">
        <f>J90</f>
        <v>0</v>
      </c>
      <c r="L60" s="59"/>
    </row>
    <row r="61" spans="2:47" s="101" customFormat="1" ht="19.899999999999999" customHeight="1">
      <c r="B61" s="102"/>
      <c r="D61" s="105" t="s">
        <v>1275</v>
      </c>
      <c r="E61" s="104"/>
      <c r="F61" s="104"/>
      <c r="G61" s="104"/>
      <c r="H61" s="104"/>
      <c r="I61" s="104"/>
      <c r="J61" s="103">
        <f>J91</f>
        <v>0</v>
      </c>
      <c r="L61" s="102"/>
    </row>
    <row r="62" spans="2:47" s="101" customFormat="1" ht="19.899999999999999" customHeight="1">
      <c r="B62" s="102"/>
      <c r="D62" s="105" t="s">
        <v>1274</v>
      </c>
      <c r="E62" s="104"/>
      <c r="F62" s="104"/>
      <c r="G62" s="104"/>
      <c r="H62" s="104"/>
      <c r="I62" s="104"/>
      <c r="J62" s="103">
        <f>J110</f>
        <v>0</v>
      </c>
      <c r="L62" s="102"/>
    </row>
    <row r="63" spans="2:47" s="58" customFormat="1" ht="24.95" customHeight="1">
      <c r="B63" s="59"/>
      <c r="D63" s="62" t="s">
        <v>1273</v>
      </c>
      <c r="E63" s="61"/>
      <c r="F63" s="61"/>
      <c r="G63" s="61"/>
      <c r="H63" s="61"/>
      <c r="I63" s="61"/>
      <c r="J63" s="60">
        <f>J128</f>
        <v>0</v>
      </c>
      <c r="L63" s="59"/>
    </row>
    <row r="64" spans="2:47" s="101" customFormat="1" ht="19.899999999999999" customHeight="1">
      <c r="B64" s="102"/>
      <c r="D64" s="105" t="s">
        <v>1272</v>
      </c>
      <c r="E64" s="104"/>
      <c r="F64" s="104"/>
      <c r="G64" s="104"/>
      <c r="H64" s="104"/>
      <c r="I64" s="104"/>
      <c r="J64" s="103">
        <f>J129</f>
        <v>0</v>
      </c>
      <c r="L64" s="102"/>
    </row>
    <row r="65" spans="2:12" s="101" customFormat="1" ht="19.899999999999999" customHeight="1">
      <c r="B65" s="102"/>
      <c r="D65" s="105" t="s">
        <v>1271</v>
      </c>
      <c r="E65" s="104"/>
      <c r="F65" s="104"/>
      <c r="G65" s="104"/>
      <c r="H65" s="104"/>
      <c r="I65" s="104"/>
      <c r="J65" s="103">
        <f>J163</f>
        <v>0</v>
      </c>
      <c r="L65" s="102"/>
    </row>
    <row r="66" spans="2:12" s="101" customFormat="1" ht="19.899999999999999" customHeight="1">
      <c r="B66" s="102"/>
      <c r="D66" s="105" t="s">
        <v>1270</v>
      </c>
      <c r="E66" s="104"/>
      <c r="F66" s="104"/>
      <c r="G66" s="104"/>
      <c r="H66" s="104"/>
      <c r="I66" s="104"/>
      <c r="J66" s="103">
        <f>J190</f>
        <v>0</v>
      </c>
      <c r="L66" s="102"/>
    </row>
    <row r="67" spans="2:12" s="101" customFormat="1" ht="19.899999999999999" customHeight="1">
      <c r="B67" s="102"/>
      <c r="D67" s="105" t="s">
        <v>1269</v>
      </c>
      <c r="E67" s="104"/>
      <c r="F67" s="104"/>
      <c r="G67" s="104"/>
      <c r="H67" s="104"/>
      <c r="I67" s="104"/>
      <c r="J67" s="103">
        <f>J253</f>
        <v>0</v>
      </c>
      <c r="L67" s="102"/>
    </row>
    <row r="68" spans="2:12" s="101" customFormat="1" ht="19.899999999999999" customHeight="1">
      <c r="B68" s="102"/>
      <c r="D68" s="105" t="s">
        <v>1268</v>
      </c>
      <c r="E68" s="104"/>
      <c r="F68" s="104"/>
      <c r="G68" s="104"/>
      <c r="H68" s="104"/>
      <c r="I68" s="104"/>
      <c r="J68" s="103">
        <f>J352</f>
        <v>0</v>
      </c>
      <c r="L68" s="102"/>
    </row>
    <row r="69" spans="2:12" s="101" customFormat="1" ht="19.899999999999999" customHeight="1">
      <c r="B69" s="102"/>
      <c r="D69" s="105" t="s">
        <v>1267</v>
      </c>
      <c r="E69" s="104"/>
      <c r="F69" s="104"/>
      <c r="G69" s="104"/>
      <c r="H69" s="104"/>
      <c r="I69" s="104"/>
      <c r="J69" s="103">
        <f>J372</f>
        <v>0</v>
      </c>
      <c r="L69" s="102"/>
    </row>
    <row r="70" spans="2:12" s="2" customFormat="1" ht="21.75" customHeight="1">
      <c r="B70" s="3"/>
      <c r="L70" s="3"/>
    </row>
    <row r="71" spans="2:12" s="2" customFormat="1" ht="6.95" customHeight="1">
      <c r="B71" s="5"/>
      <c r="C71" s="4"/>
      <c r="D71" s="4"/>
      <c r="E71" s="4"/>
      <c r="F71" s="4"/>
      <c r="G71" s="4"/>
      <c r="H71" s="4"/>
      <c r="I71" s="4"/>
      <c r="J71" s="4"/>
      <c r="K71" s="4"/>
      <c r="L71" s="3"/>
    </row>
    <row r="75" spans="2:12" s="2" customFormat="1" ht="6.95" customHeight="1">
      <c r="B75" s="57"/>
      <c r="C75" s="56"/>
      <c r="D75" s="56"/>
      <c r="E75" s="56"/>
      <c r="F75" s="56"/>
      <c r="G75" s="56"/>
      <c r="H75" s="56"/>
      <c r="I75" s="56"/>
      <c r="J75" s="56"/>
      <c r="K75" s="56"/>
      <c r="L75" s="3"/>
    </row>
    <row r="76" spans="2:12" s="2" customFormat="1" ht="24.95" customHeight="1">
      <c r="B76" s="3"/>
      <c r="C76" s="55" t="s">
        <v>396</v>
      </c>
      <c r="L76" s="3"/>
    </row>
    <row r="77" spans="2:12" s="2" customFormat="1" ht="6.95" customHeight="1">
      <c r="B77" s="3"/>
      <c r="L77" s="3"/>
    </row>
    <row r="78" spans="2:12" s="2" customFormat="1" ht="12" customHeight="1">
      <c r="B78" s="3"/>
      <c r="C78" s="52" t="s">
        <v>395</v>
      </c>
      <c r="L78" s="3"/>
    </row>
    <row r="79" spans="2:12" s="2" customFormat="1" ht="16.5" customHeight="1">
      <c r="B79" s="3"/>
      <c r="E79" s="258" t="str">
        <f>E7</f>
        <v>Realizace úspor energie, areál NPK, a.s. Správní budova v Litomyšli - rekuperace (aktualizace 08/2022)</v>
      </c>
      <c r="F79" s="259"/>
      <c r="G79" s="259"/>
      <c r="H79" s="259"/>
      <c r="L79" s="3"/>
    </row>
    <row r="80" spans="2:12" s="2" customFormat="1" ht="12" customHeight="1">
      <c r="B80" s="3"/>
      <c r="C80" s="52" t="s">
        <v>394</v>
      </c>
      <c r="L80" s="3"/>
    </row>
    <row r="81" spans="2:65" s="2" customFormat="1" ht="16.5" customHeight="1">
      <c r="B81" s="3"/>
      <c r="E81" s="256" t="str">
        <f>E9</f>
        <v>D.1.4.2 - Zařízení pro vytápění staveb</v>
      </c>
      <c r="F81" s="257"/>
      <c r="G81" s="257"/>
      <c r="H81" s="257"/>
      <c r="L81" s="3"/>
    </row>
    <row r="82" spans="2:65" s="2" customFormat="1" ht="6.95" customHeight="1">
      <c r="B82" s="3"/>
      <c r="L82" s="3"/>
    </row>
    <row r="83" spans="2:65" s="2" customFormat="1" ht="12" customHeight="1">
      <c r="B83" s="3"/>
      <c r="C83" s="52" t="s">
        <v>393</v>
      </c>
      <c r="F83" s="53" t="str">
        <f>F12</f>
        <v>Litomyšl</v>
      </c>
      <c r="I83" s="52" t="s">
        <v>392</v>
      </c>
      <c r="J83" s="54" t="str">
        <f>IF(J12="","",J12)</f>
        <v>1. 8. 2022</v>
      </c>
      <c r="L83" s="3"/>
    </row>
    <row r="84" spans="2:65" s="2" customFormat="1" ht="6.95" customHeight="1">
      <c r="B84" s="3"/>
      <c r="L84" s="3"/>
    </row>
    <row r="85" spans="2:65" s="2" customFormat="1" ht="40.15" customHeight="1">
      <c r="B85" s="3"/>
      <c r="C85" s="52" t="s">
        <v>391</v>
      </c>
      <c r="F85" s="53" t="str">
        <f>E15</f>
        <v>Pardubický kraj,Komenského n.125,532 11 Pardubice</v>
      </c>
      <c r="I85" s="52" t="s">
        <v>390</v>
      </c>
      <c r="J85" s="51" t="str">
        <f>E21</f>
        <v>KIP s.r.o.Litomyšl projektant části:Ing.LiborSauer</v>
      </c>
      <c r="L85" s="3"/>
    </row>
    <row r="86" spans="2:65" s="2" customFormat="1" ht="15.2" customHeight="1">
      <c r="B86" s="3"/>
      <c r="C86" s="52" t="s">
        <v>389</v>
      </c>
      <c r="F86" s="53" t="str">
        <f>IF(E18="","",E18)</f>
        <v>Vyplň údaj</v>
      </c>
      <c r="I86" s="52" t="s">
        <v>388</v>
      </c>
      <c r="J86" s="51" t="str">
        <f>E24</f>
        <v xml:space="preserve"> </v>
      </c>
      <c r="L86" s="3"/>
    </row>
    <row r="87" spans="2:65" s="2" customFormat="1" ht="10.35" customHeight="1">
      <c r="B87" s="3"/>
      <c r="L87" s="3"/>
    </row>
    <row r="88" spans="2:65" s="43" customFormat="1" ht="29.25" customHeight="1">
      <c r="B88" s="47"/>
      <c r="C88" s="50" t="s">
        <v>387</v>
      </c>
      <c r="D88" s="49" t="s">
        <v>386</v>
      </c>
      <c r="E88" s="49" t="s">
        <v>385</v>
      </c>
      <c r="F88" s="49" t="s">
        <v>384</v>
      </c>
      <c r="G88" s="49" t="s">
        <v>383</v>
      </c>
      <c r="H88" s="49" t="s">
        <v>382</v>
      </c>
      <c r="I88" s="49" t="s">
        <v>381</v>
      </c>
      <c r="J88" s="49" t="s">
        <v>380</v>
      </c>
      <c r="K88" s="48" t="s">
        <v>379</v>
      </c>
      <c r="L88" s="47"/>
      <c r="M88" s="46" t="s">
        <v>6</v>
      </c>
      <c r="N88" s="45" t="s">
        <v>378</v>
      </c>
      <c r="O88" s="45" t="s">
        <v>377</v>
      </c>
      <c r="P88" s="45" t="s">
        <v>376</v>
      </c>
      <c r="Q88" s="45" t="s">
        <v>375</v>
      </c>
      <c r="R88" s="45" t="s">
        <v>374</v>
      </c>
      <c r="S88" s="45" t="s">
        <v>373</v>
      </c>
      <c r="T88" s="44" t="s">
        <v>372</v>
      </c>
    </row>
    <row r="89" spans="2:65" s="2" customFormat="1" ht="22.9" customHeight="1">
      <c r="B89" s="3"/>
      <c r="C89" s="42" t="s">
        <v>371</v>
      </c>
      <c r="J89" s="41">
        <f>BK89</f>
        <v>0</v>
      </c>
      <c r="L89" s="3"/>
      <c r="M89" s="40"/>
      <c r="N89" s="38"/>
      <c r="O89" s="38"/>
      <c r="P89" s="39">
        <f>P90+P128</f>
        <v>0</v>
      </c>
      <c r="Q89" s="38"/>
      <c r="R89" s="39">
        <f>R90+R128</f>
        <v>0.76062000000000007</v>
      </c>
      <c r="S89" s="38"/>
      <c r="T89" s="37">
        <f>T90+T128</f>
        <v>1.01675</v>
      </c>
      <c r="AT89" s="7" t="s">
        <v>26</v>
      </c>
      <c r="AU89" s="7" t="s">
        <v>370</v>
      </c>
      <c r="BK89" s="36">
        <f>BK90+BK128</f>
        <v>0</v>
      </c>
    </row>
    <row r="90" spans="2:65" s="25" customFormat="1" ht="25.9" customHeight="1">
      <c r="B90" s="32"/>
      <c r="D90" s="27" t="s">
        <v>26</v>
      </c>
      <c r="E90" s="35" t="s">
        <v>1266</v>
      </c>
      <c r="F90" s="35" t="s">
        <v>1265</v>
      </c>
      <c r="I90" s="34"/>
      <c r="J90" s="33">
        <f>BK90</f>
        <v>0</v>
      </c>
      <c r="L90" s="32"/>
      <c r="M90" s="31"/>
      <c r="P90" s="30">
        <f>P91+P110</f>
        <v>0</v>
      </c>
      <c r="R90" s="30">
        <f>R91+R110</f>
        <v>1.9099999999999998E-3</v>
      </c>
      <c r="T90" s="29">
        <f>T91+T110</f>
        <v>0.21464</v>
      </c>
      <c r="AR90" s="27" t="s">
        <v>2</v>
      </c>
      <c r="AT90" s="28" t="s">
        <v>26</v>
      </c>
      <c r="AU90" s="28" t="s">
        <v>25</v>
      </c>
      <c r="AY90" s="27" t="s">
        <v>3</v>
      </c>
      <c r="BK90" s="26">
        <f>BK91+BK110</f>
        <v>0</v>
      </c>
    </row>
    <row r="91" spans="2:65" s="25" customFormat="1" ht="22.9" customHeight="1">
      <c r="B91" s="32"/>
      <c r="D91" s="27" t="s">
        <v>26</v>
      </c>
      <c r="E91" s="98" t="s">
        <v>347</v>
      </c>
      <c r="F91" s="98" t="s">
        <v>1264</v>
      </c>
      <c r="I91" s="34"/>
      <c r="J91" s="97">
        <f>BK91</f>
        <v>0</v>
      </c>
      <c r="L91" s="32"/>
      <c r="M91" s="31"/>
      <c r="P91" s="30">
        <f>SUM(P92:P109)</f>
        <v>0</v>
      </c>
      <c r="R91" s="30">
        <f>SUM(R92:R109)</f>
        <v>1.9099999999999998E-3</v>
      </c>
      <c r="T91" s="29">
        <f>SUM(T92:T109)</f>
        <v>0.21464</v>
      </c>
      <c r="AR91" s="27" t="s">
        <v>2</v>
      </c>
      <c r="AT91" s="28" t="s">
        <v>26</v>
      </c>
      <c r="AU91" s="28" t="s">
        <v>2</v>
      </c>
      <c r="AY91" s="27" t="s">
        <v>3</v>
      </c>
      <c r="BK91" s="26">
        <f>SUM(BK92:BK109)</f>
        <v>0</v>
      </c>
    </row>
    <row r="92" spans="2:65" s="2" customFormat="1" ht="16.5" customHeight="1">
      <c r="B92" s="3"/>
      <c r="C92" s="20" t="s">
        <v>2</v>
      </c>
      <c r="D92" s="20" t="s">
        <v>4</v>
      </c>
      <c r="E92" s="19" t="s">
        <v>1263</v>
      </c>
      <c r="F92" s="14" t="s">
        <v>1262</v>
      </c>
      <c r="G92" s="18" t="s">
        <v>1261</v>
      </c>
      <c r="H92" s="17">
        <v>0.09</v>
      </c>
      <c r="I92" s="16"/>
      <c r="J92" s="15">
        <f>ROUND(I92*H92,2)</f>
        <v>0</v>
      </c>
      <c r="K92" s="14" t="s">
        <v>654</v>
      </c>
      <c r="L92" s="3"/>
      <c r="M92" s="24" t="s">
        <v>6</v>
      </c>
      <c r="N92" s="23" t="s">
        <v>5</v>
      </c>
      <c r="P92" s="22">
        <f>O92*H92</f>
        <v>0</v>
      </c>
      <c r="Q92" s="22">
        <v>0</v>
      </c>
      <c r="R92" s="22">
        <f>Q92*H92</f>
        <v>0</v>
      </c>
      <c r="S92" s="22">
        <v>2.2000000000000002</v>
      </c>
      <c r="T92" s="21">
        <f>S92*H92</f>
        <v>0.19800000000000001</v>
      </c>
      <c r="AR92" s="6" t="s">
        <v>1</v>
      </c>
      <c r="AT92" s="6" t="s">
        <v>4</v>
      </c>
      <c r="AU92" s="6" t="s">
        <v>365</v>
      </c>
      <c r="AY92" s="7" t="s">
        <v>3</v>
      </c>
      <c r="BE92" s="8">
        <f>IF(N92="základní",J92,0)</f>
        <v>0</v>
      </c>
      <c r="BF92" s="8">
        <f>IF(N92="snížená",J92,0)</f>
        <v>0</v>
      </c>
      <c r="BG92" s="8">
        <f>IF(N92="zákl. přenesená",J92,0)</f>
        <v>0</v>
      </c>
      <c r="BH92" s="8">
        <f>IF(N92="sníž. přenesená",J92,0)</f>
        <v>0</v>
      </c>
      <c r="BI92" s="8">
        <f>IF(N92="nulová",J92,0)</f>
        <v>0</v>
      </c>
      <c r="BJ92" s="7" t="s">
        <v>2</v>
      </c>
      <c r="BK92" s="8">
        <f>ROUND(I92*H92,2)</f>
        <v>0</v>
      </c>
      <c r="BL92" s="7" t="s">
        <v>1</v>
      </c>
      <c r="BM92" s="6" t="s">
        <v>1260</v>
      </c>
    </row>
    <row r="93" spans="2:65" s="2" customFormat="1">
      <c r="B93" s="3"/>
      <c r="D93" s="107" t="s">
        <v>651</v>
      </c>
      <c r="F93" s="106" t="s">
        <v>1259</v>
      </c>
      <c r="I93" s="94"/>
      <c r="L93" s="3"/>
      <c r="M93" s="100"/>
      <c r="T93" s="99"/>
      <c r="AT93" s="7" t="s">
        <v>651</v>
      </c>
      <c r="AU93" s="7" t="s">
        <v>365</v>
      </c>
    </row>
    <row r="94" spans="2:65" s="108" customFormat="1">
      <c r="B94" s="112"/>
      <c r="D94" s="96" t="s">
        <v>704</v>
      </c>
      <c r="E94" s="109" t="s">
        <v>6</v>
      </c>
      <c r="F94" s="115" t="s">
        <v>1258</v>
      </c>
      <c r="H94" s="114">
        <v>0.09</v>
      </c>
      <c r="I94" s="113"/>
      <c r="L94" s="112"/>
      <c r="M94" s="111"/>
      <c r="T94" s="110"/>
      <c r="AT94" s="109" t="s">
        <v>704</v>
      </c>
      <c r="AU94" s="109" t="s">
        <v>365</v>
      </c>
      <c r="AV94" s="108" t="s">
        <v>365</v>
      </c>
      <c r="AW94" s="108" t="s">
        <v>703</v>
      </c>
      <c r="AX94" s="108" t="s">
        <v>2</v>
      </c>
      <c r="AY94" s="109" t="s">
        <v>3</v>
      </c>
    </row>
    <row r="95" spans="2:65" s="2" customFormat="1" ht="24.2" customHeight="1">
      <c r="B95" s="3"/>
      <c r="C95" s="20" t="s">
        <v>365</v>
      </c>
      <c r="D95" s="20" t="s">
        <v>4</v>
      </c>
      <c r="E95" s="19" t="s">
        <v>1257</v>
      </c>
      <c r="F95" s="14" t="s">
        <v>1256</v>
      </c>
      <c r="G95" s="18" t="s">
        <v>21</v>
      </c>
      <c r="H95" s="17">
        <v>1</v>
      </c>
      <c r="I95" s="16"/>
      <c r="J95" s="15">
        <f>ROUND(I95*H95,2)</f>
        <v>0</v>
      </c>
      <c r="K95" s="14" t="s">
        <v>654</v>
      </c>
      <c r="L95" s="3"/>
      <c r="M95" s="24" t="s">
        <v>6</v>
      </c>
      <c r="N95" s="23" t="s">
        <v>5</v>
      </c>
      <c r="P95" s="22">
        <f>O95*H95</f>
        <v>0</v>
      </c>
      <c r="Q95" s="22">
        <v>1.1299999999999999E-3</v>
      </c>
      <c r="R95" s="22">
        <f>Q95*H95</f>
        <v>1.1299999999999999E-3</v>
      </c>
      <c r="S95" s="22">
        <v>1.0999999999999999E-2</v>
      </c>
      <c r="T95" s="21">
        <f>S95*H95</f>
        <v>1.0999999999999999E-2</v>
      </c>
      <c r="AR95" s="6" t="s">
        <v>1</v>
      </c>
      <c r="AT95" s="6" t="s">
        <v>4</v>
      </c>
      <c r="AU95" s="6" t="s">
        <v>365</v>
      </c>
      <c r="AY95" s="7" t="s">
        <v>3</v>
      </c>
      <c r="BE95" s="8">
        <f>IF(N95="základní",J95,0)</f>
        <v>0</v>
      </c>
      <c r="BF95" s="8">
        <f>IF(N95="snížená",J95,0)</f>
        <v>0</v>
      </c>
      <c r="BG95" s="8">
        <f>IF(N95="zákl. přenesená",J95,0)</f>
        <v>0</v>
      </c>
      <c r="BH95" s="8">
        <f>IF(N95="sníž. přenesená",J95,0)</f>
        <v>0</v>
      </c>
      <c r="BI95" s="8">
        <f>IF(N95="nulová",J95,0)</f>
        <v>0</v>
      </c>
      <c r="BJ95" s="7" t="s">
        <v>2</v>
      </c>
      <c r="BK95" s="8">
        <f>ROUND(I95*H95,2)</f>
        <v>0</v>
      </c>
      <c r="BL95" s="7" t="s">
        <v>1</v>
      </c>
      <c r="BM95" s="6" t="s">
        <v>1255</v>
      </c>
    </row>
    <row r="96" spans="2:65" s="2" customFormat="1">
      <c r="B96" s="3"/>
      <c r="D96" s="107" t="s">
        <v>651</v>
      </c>
      <c r="F96" s="106" t="s">
        <v>1254</v>
      </c>
      <c r="I96" s="94"/>
      <c r="L96" s="3"/>
      <c r="M96" s="100"/>
      <c r="T96" s="99"/>
      <c r="AT96" s="7" t="s">
        <v>651</v>
      </c>
      <c r="AU96" s="7" t="s">
        <v>365</v>
      </c>
    </row>
    <row r="97" spans="2:65" s="2" customFormat="1" ht="48.75">
      <c r="B97" s="3"/>
      <c r="D97" s="96" t="s">
        <v>731</v>
      </c>
      <c r="F97" s="95" t="s">
        <v>1243</v>
      </c>
      <c r="I97" s="94"/>
      <c r="L97" s="3"/>
      <c r="M97" s="100"/>
      <c r="T97" s="99"/>
      <c r="AT97" s="7" t="s">
        <v>731</v>
      </c>
      <c r="AU97" s="7" t="s">
        <v>365</v>
      </c>
    </row>
    <row r="98" spans="2:65" s="108" customFormat="1">
      <c r="B98" s="112"/>
      <c r="D98" s="96" t="s">
        <v>704</v>
      </c>
      <c r="E98" s="109" t="s">
        <v>6</v>
      </c>
      <c r="F98" s="115" t="s">
        <v>1253</v>
      </c>
      <c r="H98" s="114">
        <v>1</v>
      </c>
      <c r="I98" s="113"/>
      <c r="L98" s="112"/>
      <c r="M98" s="111"/>
      <c r="T98" s="110"/>
      <c r="AT98" s="109" t="s">
        <v>704</v>
      </c>
      <c r="AU98" s="109" t="s">
        <v>365</v>
      </c>
      <c r="AV98" s="108" t="s">
        <v>365</v>
      </c>
      <c r="AW98" s="108" t="s">
        <v>703</v>
      </c>
      <c r="AX98" s="108" t="s">
        <v>2</v>
      </c>
      <c r="AY98" s="109" t="s">
        <v>3</v>
      </c>
    </row>
    <row r="99" spans="2:65" s="2" customFormat="1" ht="24.2" customHeight="1">
      <c r="B99" s="3"/>
      <c r="C99" s="20" t="s">
        <v>362</v>
      </c>
      <c r="D99" s="20" t="s">
        <v>4</v>
      </c>
      <c r="E99" s="19" t="s">
        <v>1252</v>
      </c>
      <c r="F99" s="14" t="s">
        <v>1251</v>
      </c>
      <c r="G99" s="18" t="s">
        <v>21</v>
      </c>
      <c r="H99" s="17">
        <v>0.2</v>
      </c>
      <c r="I99" s="16"/>
      <c r="J99" s="15">
        <f>ROUND(I99*H99,2)</f>
        <v>0</v>
      </c>
      <c r="K99" s="14" t="s">
        <v>654</v>
      </c>
      <c r="L99" s="3"/>
      <c r="M99" s="24" t="s">
        <v>6</v>
      </c>
      <c r="N99" s="23" t="s">
        <v>5</v>
      </c>
      <c r="P99" s="22">
        <f>O99*H99</f>
        <v>0</v>
      </c>
      <c r="Q99" s="22">
        <v>1.24E-3</v>
      </c>
      <c r="R99" s="22">
        <f>Q99*H99</f>
        <v>2.4800000000000001E-4</v>
      </c>
      <c r="S99" s="22">
        <v>6.1999999999999998E-3</v>
      </c>
      <c r="T99" s="21">
        <f>S99*H99</f>
        <v>1.24E-3</v>
      </c>
      <c r="AR99" s="6" t="s">
        <v>1</v>
      </c>
      <c r="AT99" s="6" t="s">
        <v>4</v>
      </c>
      <c r="AU99" s="6" t="s">
        <v>365</v>
      </c>
      <c r="AY99" s="7" t="s">
        <v>3</v>
      </c>
      <c r="BE99" s="8">
        <f>IF(N99="základní",J99,0)</f>
        <v>0</v>
      </c>
      <c r="BF99" s="8">
        <f>IF(N99="snížená",J99,0)</f>
        <v>0</v>
      </c>
      <c r="BG99" s="8">
        <f>IF(N99="zákl. přenesená",J99,0)</f>
        <v>0</v>
      </c>
      <c r="BH99" s="8">
        <f>IF(N99="sníž. přenesená",J99,0)</f>
        <v>0</v>
      </c>
      <c r="BI99" s="8">
        <f>IF(N99="nulová",J99,0)</f>
        <v>0</v>
      </c>
      <c r="BJ99" s="7" t="s">
        <v>2</v>
      </c>
      <c r="BK99" s="8">
        <f>ROUND(I99*H99,2)</f>
        <v>0</v>
      </c>
      <c r="BL99" s="7" t="s">
        <v>1</v>
      </c>
      <c r="BM99" s="6" t="s">
        <v>1250</v>
      </c>
    </row>
    <row r="100" spans="2:65" s="2" customFormat="1">
      <c r="B100" s="3"/>
      <c r="D100" s="107" t="s">
        <v>651</v>
      </c>
      <c r="F100" s="106" t="s">
        <v>1249</v>
      </c>
      <c r="I100" s="94"/>
      <c r="L100" s="3"/>
      <c r="M100" s="100"/>
      <c r="T100" s="99"/>
      <c r="AT100" s="7" t="s">
        <v>651</v>
      </c>
      <c r="AU100" s="7" t="s">
        <v>365</v>
      </c>
    </row>
    <row r="101" spans="2:65" s="2" customFormat="1" ht="48.75">
      <c r="B101" s="3"/>
      <c r="D101" s="96" t="s">
        <v>731</v>
      </c>
      <c r="F101" s="95" t="s">
        <v>1243</v>
      </c>
      <c r="I101" s="94"/>
      <c r="L101" s="3"/>
      <c r="M101" s="100"/>
      <c r="T101" s="99"/>
      <c r="AT101" s="7" t="s">
        <v>731</v>
      </c>
      <c r="AU101" s="7" t="s">
        <v>365</v>
      </c>
    </row>
    <row r="102" spans="2:65" s="108" customFormat="1">
      <c r="B102" s="112"/>
      <c r="D102" s="96" t="s">
        <v>704</v>
      </c>
      <c r="E102" s="109" t="s">
        <v>6</v>
      </c>
      <c r="F102" s="115" t="s">
        <v>1248</v>
      </c>
      <c r="H102" s="114">
        <v>0.2</v>
      </c>
      <c r="I102" s="113"/>
      <c r="L102" s="112"/>
      <c r="M102" s="111"/>
      <c r="T102" s="110"/>
      <c r="AT102" s="109" t="s">
        <v>704</v>
      </c>
      <c r="AU102" s="109" t="s">
        <v>365</v>
      </c>
      <c r="AV102" s="108" t="s">
        <v>365</v>
      </c>
      <c r="AW102" s="108" t="s">
        <v>703</v>
      </c>
      <c r="AX102" s="108" t="s">
        <v>2</v>
      </c>
      <c r="AY102" s="109" t="s">
        <v>3</v>
      </c>
    </row>
    <row r="103" spans="2:65" s="2" customFormat="1" ht="24.2" customHeight="1">
      <c r="B103" s="3"/>
      <c r="C103" s="20" t="s">
        <v>1</v>
      </c>
      <c r="D103" s="20" t="s">
        <v>4</v>
      </c>
      <c r="E103" s="19" t="s">
        <v>1247</v>
      </c>
      <c r="F103" s="14" t="s">
        <v>1246</v>
      </c>
      <c r="G103" s="18" t="s">
        <v>21</v>
      </c>
      <c r="H103" s="17">
        <v>0.4</v>
      </c>
      <c r="I103" s="16"/>
      <c r="J103" s="15">
        <f>ROUND(I103*H103,2)</f>
        <v>0</v>
      </c>
      <c r="K103" s="14" t="s">
        <v>654</v>
      </c>
      <c r="L103" s="3"/>
      <c r="M103" s="24" t="s">
        <v>6</v>
      </c>
      <c r="N103" s="23" t="s">
        <v>5</v>
      </c>
      <c r="P103" s="22">
        <f>O103*H103</f>
        <v>0</v>
      </c>
      <c r="Q103" s="22">
        <v>1.33E-3</v>
      </c>
      <c r="R103" s="22">
        <f>Q103*H103</f>
        <v>5.3200000000000003E-4</v>
      </c>
      <c r="S103" s="22">
        <v>1.0999999999999999E-2</v>
      </c>
      <c r="T103" s="21">
        <f>S103*H103</f>
        <v>4.4000000000000003E-3</v>
      </c>
      <c r="AR103" s="6" t="s">
        <v>1</v>
      </c>
      <c r="AT103" s="6" t="s">
        <v>4</v>
      </c>
      <c r="AU103" s="6" t="s">
        <v>365</v>
      </c>
      <c r="AY103" s="7" t="s">
        <v>3</v>
      </c>
      <c r="BE103" s="8">
        <f>IF(N103="základní",J103,0)</f>
        <v>0</v>
      </c>
      <c r="BF103" s="8">
        <f>IF(N103="snížená",J103,0)</f>
        <v>0</v>
      </c>
      <c r="BG103" s="8">
        <f>IF(N103="zákl. přenesená",J103,0)</f>
        <v>0</v>
      </c>
      <c r="BH103" s="8">
        <f>IF(N103="sníž. přenesená",J103,0)</f>
        <v>0</v>
      </c>
      <c r="BI103" s="8">
        <f>IF(N103="nulová",J103,0)</f>
        <v>0</v>
      </c>
      <c r="BJ103" s="7" t="s">
        <v>2</v>
      </c>
      <c r="BK103" s="8">
        <f>ROUND(I103*H103,2)</f>
        <v>0</v>
      </c>
      <c r="BL103" s="7" t="s">
        <v>1</v>
      </c>
      <c r="BM103" s="6" t="s">
        <v>1245</v>
      </c>
    </row>
    <row r="104" spans="2:65" s="2" customFormat="1">
      <c r="B104" s="3"/>
      <c r="D104" s="107" t="s">
        <v>651</v>
      </c>
      <c r="F104" s="106" t="s">
        <v>1244</v>
      </c>
      <c r="I104" s="94"/>
      <c r="L104" s="3"/>
      <c r="M104" s="100"/>
      <c r="T104" s="99"/>
      <c r="AT104" s="7" t="s">
        <v>651</v>
      </c>
      <c r="AU104" s="7" t="s">
        <v>365</v>
      </c>
    </row>
    <row r="105" spans="2:65" s="2" customFormat="1" ht="48.75">
      <c r="B105" s="3"/>
      <c r="D105" s="96" t="s">
        <v>731</v>
      </c>
      <c r="F105" s="95" t="s">
        <v>1243</v>
      </c>
      <c r="I105" s="94"/>
      <c r="L105" s="3"/>
      <c r="M105" s="100"/>
      <c r="T105" s="99"/>
      <c r="AT105" s="7" t="s">
        <v>731</v>
      </c>
      <c r="AU105" s="7" t="s">
        <v>365</v>
      </c>
    </row>
    <row r="106" spans="2:65" s="108" customFormat="1">
      <c r="B106" s="112"/>
      <c r="D106" s="96" t="s">
        <v>704</v>
      </c>
      <c r="E106" s="109" t="s">
        <v>6</v>
      </c>
      <c r="F106" s="115" t="s">
        <v>1242</v>
      </c>
      <c r="H106" s="114">
        <v>0.4</v>
      </c>
      <c r="I106" s="113"/>
      <c r="L106" s="112"/>
      <c r="M106" s="111"/>
      <c r="T106" s="110"/>
      <c r="AT106" s="109" t="s">
        <v>704</v>
      </c>
      <c r="AU106" s="109" t="s">
        <v>365</v>
      </c>
      <c r="AV106" s="108" t="s">
        <v>365</v>
      </c>
      <c r="AW106" s="108" t="s">
        <v>703</v>
      </c>
      <c r="AX106" s="108" t="s">
        <v>2</v>
      </c>
      <c r="AY106" s="109" t="s">
        <v>3</v>
      </c>
    </row>
    <row r="107" spans="2:65" s="2" customFormat="1" ht="16.5" customHeight="1">
      <c r="B107" s="3"/>
      <c r="C107" s="20" t="s">
        <v>357</v>
      </c>
      <c r="D107" s="20" t="s">
        <v>4</v>
      </c>
      <c r="E107" s="19" t="s">
        <v>1241</v>
      </c>
      <c r="F107" s="14" t="s">
        <v>1240</v>
      </c>
      <c r="G107" s="18" t="s">
        <v>21</v>
      </c>
      <c r="H107" s="17">
        <v>9.6</v>
      </c>
      <c r="I107" s="16"/>
      <c r="J107" s="15">
        <f>ROUND(I107*H107,2)</f>
        <v>0</v>
      </c>
      <c r="K107" s="14" t="s">
        <v>654</v>
      </c>
      <c r="L107" s="3"/>
      <c r="M107" s="24" t="s">
        <v>6</v>
      </c>
      <c r="N107" s="23" t="s">
        <v>5</v>
      </c>
      <c r="P107" s="22">
        <f>O107*H107</f>
        <v>0</v>
      </c>
      <c r="Q107" s="22">
        <v>0</v>
      </c>
      <c r="R107" s="22">
        <f>Q107*H107</f>
        <v>0</v>
      </c>
      <c r="S107" s="22">
        <v>0</v>
      </c>
      <c r="T107" s="21">
        <f>S107*H107</f>
        <v>0</v>
      </c>
      <c r="AR107" s="6" t="s">
        <v>1</v>
      </c>
      <c r="AT107" s="6" t="s">
        <v>4</v>
      </c>
      <c r="AU107" s="6" t="s">
        <v>365</v>
      </c>
      <c r="AY107" s="7" t="s">
        <v>3</v>
      </c>
      <c r="BE107" s="8">
        <f>IF(N107="základní",J107,0)</f>
        <v>0</v>
      </c>
      <c r="BF107" s="8">
        <f>IF(N107="snížená",J107,0)</f>
        <v>0</v>
      </c>
      <c r="BG107" s="8">
        <f>IF(N107="zákl. přenesená",J107,0)</f>
        <v>0</v>
      </c>
      <c r="BH107" s="8">
        <f>IF(N107="sníž. přenesená",J107,0)</f>
        <v>0</v>
      </c>
      <c r="BI107" s="8">
        <f>IF(N107="nulová",J107,0)</f>
        <v>0</v>
      </c>
      <c r="BJ107" s="7" t="s">
        <v>2</v>
      </c>
      <c r="BK107" s="8">
        <f>ROUND(I107*H107,2)</f>
        <v>0</v>
      </c>
      <c r="BL107" s="7" t="s">
        <v>1</v>
      </c>
      <c r="BM107" s="6" t="s">
        <v>1239</v>
      </c>
    </row>
    <row r="108" spans="2:65" s="2" customFormat="1">
      <c r="B108" s="3"/>
      <c r="D108" s="107" t="s">
        <v>651</v>
      </c>
      <c r="F108" s="106" t="s">
        <v>1238</v>
      </c>
      <c r="I108" s="94"/>
      <c r="L108" s="3"/>
      <c r="M108" s="100"/>
      <c r="T108" s="99"/>
      <c r="AT108" s="7" t="s">
        <v>651</v>
      </c>
      <c r="AU108" s="7" t="s">
        <v>365</v>
      </c>
    </row>
    <row r="109" spans="2:65" s="108" customFormat="1">
      <c r="B109" s="112"/>
      <c r="D109" s="96" t="s">
        <v>704</v>
      </c>
      <c r="E109" s="109" t="s">
        <v>6</v>
      </c>
      <c r="F109" s="115" t="s">
        <v>1237</v>
      </c>
      <c r="H109" s="114">
        <v>9.6</v>
      </c>
      <c r="I109" s="113"/>
      <c r="L109" s="112"/>
      <c r="M109" s="111"/>
      <c r="T109" s="110"/>
      <c r="AT109" s="109" t="s">
        <v>704</v>
      </c>
      <c r="AU109" s="109" t="s">
        <v>365</v>
      </c>
      <c r="AV109" s="108" t="s">
        <v>365</v>
      </c>
      <c r="AW109" s="108" t="s">
        <v>703</v>
      </c>
      <c r="AX109" s="108" t="s">
        <v>2</v>
      </c>
      <c r="AY109" s="109" t="s">
        <v>3</v>
      </c>
    </row>
    <row r="110" spans="2:65" s="25" customFormat="1" ht="22.9" customHeight="1">
      <c r="B110" s="32"/>
      <c r="D110" s="27" t="s">
        <v>26</v>
      </c>
      <c r="E110" s="98" t="s">
        <v>1236</v>
      </c>
      <c r="F110" s="98" t="s">
        <v>1235</v>
      </c>
      <c r="I110" s="34"/>
      <c r="J110" s="97">
        <f>BK110</f>
        <v>0</v>
      </c>
      <c r="L110" s="32"/>
      <c r="M110" s="31"/>
      <c r="P110" s="30">
        <f>SUM(P111:P127)</f>
        <v>0</v>
      </c>
      <c r="R110" s="30">
        <f>SUM(R111:R127)</f>
        <v>0</v>
      </c>
      <c r="T110" s="29">
        <f>SUM(T111:T127)</f>
        <v>0</v>
      </c>
      <c r="AR110" s="27" t="s">
        <v>2</v>
      </c>
      <c r="AT110" s="28" t="s">
        <v>26</v>
      </c>
      <c r="AU110" s="28" t="s">
        <v>2</v>
      </c>
      <c r="AY110" s="27" t="s">
        <v>3</v>
      </c>
      <c r="BK110" s="26">
        <f>SUM(BK111:BK127)</f>
        <v>0</v>
      </c>
    </row>
    <row r="111" spans="2:65" s="2" customFormat="1" ht="24.2" customHeight="1">
      <c r="B111" s="3"/>
      <c r="C111" s="20" t="s">
        <v>355</v>
      </c>
      <c r="D111" s="20" t="s">
        <v>4</v>
      </c>
      <c r="E111" s="19" t="s">
        <v>1234</v>
      </c>
      <c r="F111" s="14" t="s">
        <v>1233</v>
      </c>
      <c r="G111" s="18" t="s">
        <v>735</v>
      </c>
      <c r="H111" s="17">
        <v>1.0169999999999999</v>
      </c>
      <c r="I111" s="16"/>
      <c r="J111" s="15">
        <f>ROUND(I111*H111,2)</f>
        <v>0</v>
      </c>
      <c r="K111" s="14" t="s">
        <v>654</v>
      </c>
      <c r="L111" s="3"/>
      <c r="M111" s="24" t="s">
        <v>6</v>
      </c>
      <c r="N111" s="23" t="s">
        <v>5</v>
      </c>
      <c r="P111" s="22">
        <f>O111*H111</f>
        <v>0</v>
      </c>
      <c r="Q111" s="22">
        <v>0</v>
      </c>
      <c r="R111" s="22">
        <f>Q111*H111</f>
        <v>0</v>
      </c>
      <c r="S111" s="22">
        <v>0</v>
      </c>
      <c r="T111" s="21">
        <f>S111*H111</f>
        <v>0</v>
      </c>
      <c r="AR111" s="6" t="s">
        <v>1</v>
      </c>
      <c r="AT111" s="6" t="s">
        <v>4</v>
      </c>
      <c r="AU111" s="6" t="s">
        <v>365</v>
      </c>
      <c r="AY111" s="7" t="s">
        <v>3</v>
      </c>
      <c r="BE111" s="8">
        <f>IF(N111="základní",J111,0)</f>
        <v>0</v>
      </c>
      <c r="BF111" s="8">
        <f>IF(N111="snížená",J111,0)</f>
        <v>0</v>
      </c>
      <c r="BG111" s="8">
        <f>IF(N111="zákl. přenesená",J111,0)</f>
        <v>0</v>
      </c>
      <c r="BH111" s="8">
        <f>IF(N111="sníž. přenesená",J111,0)</f>
        <v>0</v>
      </c>
      <c r="BI111" s="8">
        <f>IF(N111="nulová",J111,0)</f>
        <v>0</v>
      </c>
      <c r="BJ111" s="7" t="s">
        <v>2</v>
      </c>
      <c r="BK111" s="8">
        <f>ROUND(I111*H111,2)</f>
        <v>0</v>
      </c>
      <c r="BL111" s="7" t="s">
        <v>1</v>
      </c>
      <c r="BM111" s="6" t="s">
        <v>1232</v>
      </c>
    </row>
    <row r="112" spans="2:65" s="2" customFormat="1">
      <c r="B112" s="3"/>
      <c r="D112" s="107" t="s">
        <v>651</v>
      </c>
      <c r="F112" s="106" t="s">
        <v>1231</v>
      </c>
      <c r="I112" s="94"/>
      <c r="L112" s="3"/>
      <c r="M112" s="100"/>
      <c r="T112" s="99"/>
      <c r="AT112" s="7" t="s">
        <v>651</v>
      </c>
      <c r="AU112" s="7" t="s">
        <v>365</v>
      </c>
    </row>
    <row r="113" spans="2:65" s="2" customFormat="1" ht="107.25">
      <c r="B113" s="3"/>
      <c r="D113" s="96" t="s">
        <v>731</v>
      </c>
      <c r="F113" s="95" t="s">
        <v>1230</v>
      </c>
      <c r="I113" s="94"/>
      <c r="L113" s="3"/>
      <c r="M113" s="100"/>
      <c r="T113" s="99"/>
      <c r="AT113" s="7" t="s">
        <v>731</v>
      </c>
      <c r="AU113" s="7" t="s">
        <v>365</v>
      </c>
    </row>
    <row r="114" spans="2:65" s="2" customFormat="1" ht="24.2" customHeight="1">
      <c r="B114" s="3"/>
      <c r="C114" s="20" t="s">
        <v>352</v>
      </c>
      <c r="D114" s="20" t="s">
        <v>4</v>
      </c>
      <c r="E114" s="19" t="s">
        <v>1229</v>
      </c>
      <c r="F114" s="14" t="s">
        <v>1228</v>
      </c>
      <c r="G114" s="18" t="s">
        <v>735</v>
      </c>
      <c r="H114" s="17">
        <v>9.27</v>
      </c>
      <c r="I114" s="16"/>
      <c r="J114" s="15">
        <f>ROUND(I114*H114,2)</f>
        <v>0</v>
      </c>
      <c r="K114" s="14" t="s">
        <v>654</v>
      </c>
      <c r="L114" s="3"/>
      <c r="M114" s="24" t="s">
        <v>6</v>
      </c>
      <c r="N114" s="23" t="s">
        <v>5</v>
      </c>
      <c r="P114" s="22">
        <f>O114*H114</f>
        <v>0</v>
      </c>
      <c r="Q114" s="22">
        <v>0</v>
      </c>
      <c r="R114" s="22">
        <f>Q114*H114</f>
        <v>0</v>
      </c>
      <c r="S114" s="22">
        <v>0</v>
      </c>
      <c r="T114" s="21">
        <f>S114*H114</f>
        <v>0</v>
      </c>
      <c r="AR114" s="6" t="s">
        <v>1</v>
      </c>
      <c r="AT114" s="6" t="s">
        <v>4</v>
      </c>
      <c r="AU114" s="6" t="s">
        <v>365</v>
      </c>
      <c r="AY114" s="7" t="s">
        <v>3</v>
      </c>
      <c r="BE114" s="8">
        <f>IF(N114="základní",J114,0)</f>
        <v>0</v>
      </c>
      <c r="BF114" s="8">
        <f>IF(N114="snížená",J114,0)</f>
        <v>0</v>
      </c>
      <c r="BG114" s="8">
        <f>IF(N114="zákl. přenesená",J114,0)</f>
        <v>0</v>
      </c>
      <c r="BH114" s="8">
        <f>IF(N114="sníž. přenesená",J114,0)</f>
        <v>0</v>
      </c>
      <c r="BI114" s="8">
        <f>IF(N114="nulová",J114,0)</f>
        <v>0</v>
      </c>
      <c r="BJ114" s="7" t="s">
        <v>2</v>
      </c>
      <c r="BK114" s="8">
        <f>ROUND(I114*H114,2)</f>
        <v>0</v>
      </c>
      <c r="BL114" s="7" t="s">
        <v>1</v>
      </c>
      <c r="BM114" s="6" t="s">
        <v>1227</v>
      </c>
    </row>
    <row r="115" spans="2:65" s="2" customFormat="1">
      <c r="B115" s="3"/>
      <c r="D115" s="107" t="s">
        <v>651</v>
      </c>
      <c r="F115" s="106" t="s">
        <v>1226</v>
      </c>
      <c r="I115" s="94"/>
      <c r="L115" s="3"/>
      <c r="M115" s="100"/>
      <c r="T115" s="99"/>
      <c r="AT115" s="7" t="s">
        <v>651</v>
      </c>
      <c r="AU115" s="7" t="s">
        <v>365</v>
      </c>
    </row>
    <row r="116" spans="2:65" s="2" customFormat="1" ht="58.5">
      <c r="B116" s="3"/>
      <c r="D116" s="96" t="s">
        <v>731</v>
      </c>
      <c r="F116" s="95" t="s">
        <v>1225</v>
      </c>
      <c r="I116" s="94"/>
      <c r="L116" s="3"/>
      <c r="M116" s="100"/>
      <c r="T116" s="99"/>
      <c r="AT116" s="7" t="s">
        <v>731</v>
      </c>
      <c r="AU116" s="7" t="s">
        <v>365</v>
      </c>
    </row>
    <row r="117" spans="2:65" s="108" customFormat="1">
      <c r="B117" s="112"/>
      <c r="D117" s="96" t="s">
        <v>704</v>
      </c>
      <c r="E117" s="109" t="s">
        <v>6</v>
      </c>
      <c r="F117" s="115" t="s">
        <v>1224</v>
      </c>
      <c r="H117" s="114">
        <v>9.27</v>
      </c>
      <c r="I117" s="113"/>
      <c r="L117" s="112"/>
      <c r="M117" s="111"/>
      <c r="T117" s="110"/>
      <c r="AT117" s="109" t="s">
        <v>704</v>
      </c>
      <c r="AU117" s="109" t="s">
        <v>365</v>
      </c>
      <c r="AV117" s="108" t="s">
        <v>365</v>
      </c>
      <c r="AW117" s="108" t="s">
        <v>703</v>
      </c>
      <c r="AX117" s="108" t="s">
        <v>2</v>
      </c>
      <c r="AY117" s="109" t="s">
        <v>3</v>
      </c>
    </row>
    <row r="118" spans="2:65" s="2" customFormat="1" ht="21.75" customHeight="1">
      <c r="B118" s="3"/>
      <c r="C118" s="20" t="s">
        <v>349</v>
      </c>
      <c r="D118" s="20" t="s">
        <v>4</v>
      </c>
      <c r="E118" s="19" t="s">
        <v>1223</v>
      </c>
      <c r="F118" s="14" t="s">
        <v>1222</v>
      </c>
      <c r="G118" s="18" t="s">
        <v>735</v>
      </c>
      <c r="H118" s="17">
        <v>1.0169999999999999</v>
      </c>
      <c r="I118" s="16"/>
      <c r="J118" s="15">
        <f>ROUND(I118*H118,2)</f>
        <v>0</v>
      </c>
      <c r="K118" s="14" t="s">
        <v>654</v>
      </c>
      <c r="L118" s="3"/>
      <c r="M118" s="24" t="s">
        <v>6</v>
      </c>
      <c r="N118" s="23" t="s">
        <v>5</v>
      </c>
      <c r="P118" s="22">
        <f>O118*H118</f>
        <v>0</v>
      </c>
      <c r="Q118" s="22">
        <v>0</v>
      </c>
      <c r="R118" s="22">
        <f>Q118*H118</f>
        <v>0</v>
      </c>
      <c r="S118" s="22">
        <v>0</v>
      </c>
      <c r="T118" s="21">
        <f>S118*H118</f>
        <v>0</v>
      </c>
      <c r="AR118" s="6" t="s">
        <v>1</v>
      </c>
      <c r="AT118" s="6" t="s">
        <v>4</v>
      </c>
      <c r="AU118" s="6" t="s">
        <v>365</v>
      </c>
      <c r="AY118" s="7" t="s">
        <v>3</v>
      </c>
      <c r="BE118" s="8">
        <f>IF(N118="základní",J118,0)</f>
        <v>0</v>
      </c>
      <c r="BF118" s="8">
        <f>IF(N118="snížená",J118,0)</f>
        <v>0</v>
      </c>
      <c r="BG118" s="8">
        <f>IF(N118="zákl. přenesená",J118,0)</f>
        <v>0</v>
      </c>
      <c r="BH118" s="8">
        <f>IF(N118="sníž. přenesená",J118,0)</f>
        <v>0</v>
      </c>
      <c r="BI118" s="8">
        <f>IF(N118="nulová",J118,0)</f>
        <v>0</v>
      </c>
      <c r="BJ118" s="7" t="s">
        <v>2</v>
      </c>
      <c r="BK118" s="8">
        <f>ROUND(I118*H118,2)</f>
        <v>0</v>
      </c>
      <c r="BL118" s="7" t="s">
        <v>1</v>
      </c>
      <c r="BM118" s="6" t="s">
        <v>1221</v>
      </c>
    </row>
    <row r="119" spans="2:65" s="2" customFormat="1">
      <c r="B119" s="3"/>
      <c r="D119" s="107" t="s">
        <v>651</v>
      </c>
      <c r="F119" s="106" t="s">
        <v>1220</v>
      </c>
      <c r="I119" s="94"/>
      <c r="L119" s="3"/>
      <c r="M119" s="100"/>
      <c r="T119" s="99"/>
      <c r="AT119" s="7" t="s">
        <v>651</v>
      </c>
      <c r="AU119" s="7" t="s">
        <v>365</v>
      </c>
    </row>
    <row r="120" spans="2:65" s="2" customFormat="1" ht="68.25">
      <c r="B120" s="3"/>
      <c r="D120" s="96" t="s">
        <v>731</v>
      </c>
      <c r="F120" s="95" t="s">
        <v>1219</v>
      </c>
      <c r="I120" s="94"/>
      <c r="L120" s="3"/>
      <c r="M120" s="100"/>
      <c r="T120" s="99"/>
      <c r="AT120" s="7" t="s">
        <v>731</v>
      </c>
      <c r="AU120" s="7" t="s">
        <v>365</v>
      </c>
    </row>
    <row r="121" spans="2:65" s="2" customFormat="1" ht="24.2" customHeight="1">
      <c r="B121" s="3"/>
      <c r="C121" s="20" t="s">
        <v>347</v>
      </c>
      <c r="D121" s="20" t="s">
        <v>4</v>
      </c>
      <c r="E121" s="19" t="s">
        <v>1218</v>
      </c>
      <c r="F121" s="14" t="s">
        <v>1217</v>
      </c>
      <c r="G121" s="18" t="s">
        <v>735</v>
      </c>
      <c r="H121" s="17">
        <v>0.314</v>
      </c>
      <c r="I121" s="16"/>
      <c r="J121" s="15">
        <f>ROUND(I121*H121,2)</f>
        <v>0</v>
      </c>
      <c r="K121" s="14" t="s">
        <v>654</v>
      </c>
      <c r="L121" s="3"/>
      <c r="M121" s="24" t="s">
        <v>6</v>
      </c>
      <c r="N121" s="23" t="s">
        <v>5</v>
      </c>
      <c r="P121" s="22">
        <f>O121*H121</f>
        <v>0</v>
      </c>
      <c r="Q121" s="22">
        <v>0</v>
      </c>
      <c r="R121" s="22">
        <f>Q121*H121</f>
        <v>0</v>
      </c>
      <c r="S121" s="22">
        <v>0</v>
      </c>
      <c r="T121" s="21">
        <f>S121*H121</f>
        <v>0</v>
      </c>
      <c r="AR121" s="6" t="s">
        <v>1</v>
      </c>
      <c r="AT121" s="6" t="s">
        <v>4</v>
      </c>
      <c r="AU121" s="6" t="s">
        <v>365</v>
      </c>
      <c r="AY121" s="7" t="s">
        <v>3</v>
      </c>
      <c r="BE121" s="8">
        <f>IF(N121="základní",J121,0)</f>
        <v>0</v>
      </c>
      <c r="BF121" s="8">
        <f>IF(N121="snížená",J121,0)</f>
        <v>0</v>
      </c>
      <c r="BG121" s="8">
        <f>IF(N121="zákl. přenesená",J121,0)</f>
        <v>0</v>
      </c>
      <c r="BH121" s="8">
        <f>IF(N121="sníž. přenesená",J121,0)</f>
        <v>0</v>
      </c>
      <c r="BI121" s="8">
        <f>IF(N121="nulová",J121,0)</f>
        <v>0</v>
      </c>
      <c r="BJ121" s="7" t="s">
        <v>2</v>
      </c>
      <c r="BK121" s="8">
        <f>ROUND(I121*H121,2)</f>
        <v>0</v>
      </c>
      <c r="BL121" s="7" t="s">
        <v>1</v>
      </c>
      <c r="BM121" s="6" t="s">
        <v>1216</v>
      </c>
    </row>
    <row r="122" spans="2:65" s="2" customFormat="1">
      <c r="B122" s="3"/>
      <c r="D122" s="107" t="s">
        <v>651</v>
      </c>
      <c r="F122" s="106" t="s">
        <v>1215</v>
      </c>
      <c r="I122" s="94"/>
      <c r="L122" s="3"/>
      <c r="M122" s="100"/>
      <c r="T122" s="99"/>
      <c r="AT122" s="7" t="s">
        <v>651</v>
      </c>
      <c r="AU122" s="7" t="s">
        <v>365</v>
      </c>
    </row>
    <row r="123" spans="2:65" s="2" customFormat="1" ht="58.5">
      <c r="B123" s="3"/>
      <c r="D123" s="96" t="s">
        <v>731</v>
      </c>
      <c r="F123" s="95" t="s">
        <v>1214</v>
      </c>
      <c r="I123" s="94"/>
      <c r="L123" s="3"/>
      <c r="M123" s="100"/>
      <c r="T123" s="99"/>
      <c r="AT123" s="7" t="s">
        <v>731</v>
      </c>
      <c r="AU123" s="7" t="s">
        <v>365</v>
      </c>
    </row>
    <row r="124" spans="2:65" s="2" customFormat="1" ht="24.2" customHeight="1">
      <c r="B124" s="3"/>
      <c r="C124" s="20" t="s">
        <v>344</v>
      </c>
      <c r="D124" s="20" t="s">
        <v>4</v>
      </c>
      <c r="E124" s="19" t="s">
        <v>1213</v>
      </c>
      <c r="F124" s="14" t="s">
        <v>1212</v>
      </c>
      <c r="G124" s="18" t="s">
        <v>735</v>
      </c>
      <c r="H124" s="17">
        <v>0.71599999999999997</v>
      </c>
      <c r="I124" s="16"/>
      <c r="J124" s="15">
        <f>ROUND(I124*H124,2)</f>
        <v>0</v>
      </c>
      <c r="K124" s="14" t="s">
        <v>654</v>
      </c>
      <c r="L124" s="3"/>
      <c r="M124" s="24" t="s">
        <v>6</v>
      </c>
      <c r="N124" s="23" t="s">
        <v>5</v>
      </c>
      <c r="P124" s="22">
        <f>O124*H124</f>
        <v>0</v>
      </c>
      <c r="Q124" s="22">
        <v>0</v>
      </c>
      <c r="R124" s="22">
        <f>Q124*H124</f>
        <v>0</v>
      </c>
      <c r="S124" s="22">
        <v>0</v>
      </c>
      <c r="T124" s="21">
        <f>S124*H124</f>
        <v>0</v>
      </c>
      <c r="AR124" s="6" t="s">
        <v>1</v>
      </c>
      <c r="AT124" s="6" t="s">
        <v>4</v>
      </c>
      <c r="AU124" s="6" t="s">
        <v>365</v>
      </c>
      <c r="AY124" s="7" t="s">
        <v>3</v>
      </c>
      <c r="BE124" s="8">
        <f>IF(N124="základní",J124,0)</f>
        <v>0</v>
      </c>
      <c r="BF124" s="8">
        <f>IF(N124="snížená",J124,0)</f>
        <v>0</v>
      </c>
      <c r="BG124" s="8">
        <f>IF(N124="zákl. přenesená",J124,0)</f>
        <v>0</v>
      </c>
      <c r="BH124" s="8">
        <f>IF(N124="sníž. přenesená",J124,0)</f>
        <v>0</v>
      </c>
      <c r="BI124" s="8">
        <f>IF(N124="nulová",J124,0)</f>
        <v>0</v>
      </c>
      <c r="BJ124" s="7" t="s">
        <v>2</v>
      </c>
      <c r="BK124" s="8">
        <f>ROUND(I124*H124,2)</f>
        <v>0</v>
      </c>
      <c r="BL124" s="7" t="s">
        <v>1</v>
      </c>
      <c r="BM124" s="6" t="s">
        <v>1211</v>
      </c>
    </row>
    <row r="125" spans="2:65" s="2" customFormat="1">
      <c r="B125" s="3"/>
      <c r="D125" s="107" t="s">
        <v>651</v>
      </c>
      <c r="F125" s="106" t="s">
        <v>1210</v>
      </c>
      <c r="I125" s="94"/>
      <c r="L125" s="3"/>
      <c r="M125" s="100"/>
      <c r="T125" s="99"/>
      <c r="AT125" s="7" t="s">
        <v>651</v>
      </c>
      <c r="AU125" s="7" t="s">
        <v>365</v>
      </c>
    </row>
    <row r="126" spans="2:65" s="2" customFormat="1" ht="39">
      <c r="B126" s="3"/>
      <c r="D126" s="96" t="s">
        <v>731</v>
      </c>
      <c r="F126" s="95" t="s">
        <v>1209</v>
      </c>
      <c r="I126" s="94"/>
      <c r="L126" s="3"/>
      <c r="M126" s="100"/>
      <c r="T126" s="99"/>
      <c r="AT126" s="7" t="s">
        <v>731</v>
      </c>
      <c r="AU126" s="7" t="s">
        <v>365</v>
      </c>
    </row>
    <row r="127" spans="2:65" s="108" customFormat="1">
      <c r="B127" s="112"/>
      <c r="D127" s="96" t="s">
        <v>704</v>
      </c>
      <c r="E127" s="109" t="s">
        <v>6</v>
      </c>
      <c r="F127" s="115" t="s">
        <v>1208</v>
      </c>
      <c r="H127" s="114">
        <v>0.71599999999999997</v>
      </c>
      <c r="I127" s="113"/>
      <c r="L127" s="112"/>
      <c r="M127" s="111"/>
      <c r="T127" s="110"/>
      <c r="AT127" s="109" t="s">
        <v>704</v>
      </c>
      <c r="AU127" s="109" t="s">
        <v>365</v>
      </c>
      <c r="AV127" s="108" t="s">
        <v>365</v>
      </c>
      <c r="AW127" s="108" t="s">
        <v>703</v>
      </c>
      <c r="AX127" s="108" t="s">
        <v>2</v>
      </c>
      <c r="AY127" s="109" t="s">
        <v>3</v>
      </c>
    </row>
    <row r="128" spans="2:65" s="25" customFormat="1" ht="25.9" customHeight="1">
      <c r="B128" s="32"/>
      <c r="D128" s="27" t="s">
        <v>26</v>
      </c>
      <c r="E128" s="35" t="s">
        <v>1207</v>
      </c>
      <c r="F128" s="35" t="s">
        <v>1206</v>
      </c>
      <c r="I128" s="34"/>
      <c r="J128" s="33">
        <f>BK128</f>
        <v>0</v>
      </c>
      <c r="L128" s="32"/>
      <c r="M128" s="31"/>
      <c r="P128" s="30">
        <f>P129+P163+P190+P253+P352+P372</f>
        <v>0</v>
      </c>
      <c r="R128" s="30">
        <f>R129+R163+R190+R253+R352+R372</f>
        <v>0.75871000000000011</v>
      </c>
      <c r="T128" s="29">
        <f>T129+T163+T190+T253+T352+T372</f>
        <v>0.8021100000000001</v>
      </c>
      <c r="AR128" s="27" t="s">
        <v>365</v>
      </c>
      <c r="AT128" s="28" t="s">
        <v>26</v>
      </c>
      <c r="AU128" s="28" t="s">
        <v>25</v>
      </c>
      <c r="AY128" s="27" t="s">
        <v>3</v>
      </c>
      <c r="BK128" s="26">
        <f>BK129+BK163+BK190+BK253+BK352+BK372</f>
        <v>0</v>
      </c>
    </row>
    <row r="129" spans="2:65" s="25" customFormat="1" ht="22.9" customHeight="1">
      <c r="B129" s="32"/>
      <c r="D129" s="27" t="s">
        <v>26</v>
      </c>
      <c r="E129" s="98" t="s">
        <v>1205</v>
      </c>
      <c r="F129" s="98" t="s">
        <v>1204</v>
      </c>
      <c r="I129" s="34"/>
      <c r="J129" s="97">
        <f>BK129</f>
        <v>0</v>
      </c>
      <c r="L129" s="32"/>
      <c r="M129" s="31"/>
      <c r="P129" s="30">
        <f>SUM(P130:P162)</f>
        <v>0</v>
      </c>
      <c r="R129" s="30">
        <f>SUM(R130:R162)</f>
        <v>0.22689999999999999</v>
      </c>
      <c r="T129" s="29">
        <f>SUM(T130:T162)</f>
        <v>0.31384000000000001</v>
      </c>
      <c r="AR129" s="27" t="s">
        <v>365</v>
      </c>
      <c r="AT129" s="28" t="s">
        <v>26</v>
      </c>
      <c r="AU129" s="28" t="s">
        <v>2</v>
      </c>
      <c r="AY129" s="27" t="s">
        <v>3</v>
      </c>
      <c r="BK129" s="26">
        <f>SUM(BK130:BK162)</f>
        <v>0</v>
      </c>
    </row>
    <row r="130" spans="2:65" s="2" customFormat="1" ht="16.5" customHeight="1">
      <c r="B130" s="3"/>
      <c r="C130" s="20" t="s">
        <v>341</v>
      </c>
      <c r="D130" s="20" t="s">
        <v>4</v>
      </c>
      <c r="E130" s="19" t="s">
        <v>1203</v>
      </c>
      <c r="F130" s="14" t="s">
        <v>1202</v>
      </c>
      <c r="G130" s="18" t="s">
        <v>21</v>
      </c>
      <c r="H130" s="17">
        <v>23</v>
      </c>
      <c r="I130" s="16"/>
      <c r="J130" s="15">
        <f t="shared" ref="J130:J148" si="0">ROUND(I130*H130,2)</f>
        <v>0</v>
      </c>
      <c r="K130" s="14" t="s">
        <v>7</v>
      </c>
      <c r="L130" s="3"/>
      <c r="M130" s="24" t="s">
        <v>6</v>
      </c>
      <c r="N130" s="23" t="s">
        <v>5</v>
      </c>
      <c r="P130" s="22">
        <f t="shared" ref="P130:P148" si="1">O130*H130</f>
        <v>0</v>
      </c>
      <c r="Q130" s="22">
        <v>0</v>
      </c>
      <c r="R130" s="22">
        <f t="shared" ref="R130:R148" si="2">Q130*H130</f>
        <v>0</v>
      </c>
      <c r="S130" s="22">
        <v>0</v>
      </c>
      <c r="T130" s="21">
        <f t="shared" ref="T130:T148" si="3">S130*H130</f>
        <v>0</v>
      </c>
      <c r="AR130" s="6" t="s">
        <v>328</v>
      </c>
      <c r="AT130" s="6" t="s">
        <v>4</v>
      </c>
      <c r="AU130" s="6" t="s">
        <v>365</v>
      </c>
      <c r="AY130" s="7" t="s">
        <v>3</v>
      </c>
      <c r="BE130" s="8">
        <f t="shared" ref="BE130:BE148" si="4">IF(N130="základní",J130,0)</f>
        <v>0</v>
      </c>
      <c r="BF130" s="8">
        <f t="shared" ref="BF130:BF148" si="5">IF(N130="snížená",J130,0)</f>
        <v>0</v>
      </c>
      <c r="BG130" s="8">
        <f t="shared" ref="BG130:BG148" si="6">IF(N130="zákl. přenesená",J130,0)</f>
        <v>0</v>
      </c>
      <c r="BH130" s="8">
        <f t="shared" ref="BH130:BH148" si="7">IF(N130="sníž. přenesená",J130,0)</f>
        <v>0</v>
      </c>
      <c r="BI130" s="8">
        <f t="shared" ref="BI130:BI148" si="8">IF(N130="nulová",J130,0)</f>
        <v>0</v>
      </c>
      <c r="BJ130" s="7" t="s">
        <v>2</v>
      </c>
      <c r="BK130" s="8">
        <f t="shared" ref="BK130:BK148" si="9">ROUND(I130*H130,2)</f>
        <v>0</v>
      </c>
      <c r="BL130" s="7" t="s">
        <v>328</v>
      </c>
      <c r="BM130" s="6" t="s">
        <v>1201</v>
      </c>
    </row>
    <row r="131" spans="2:65" s="2" customFormat="1" ht="24.2" customHeight="1">
      <c r="B131" s="3"/>
      <c r="C131" s="125" t="s">
        <v>339</v>
      </c>
      <c r="D131" s="125" t="s">
        <v>750</v>
      </c>
      <c r="E131" s="124" t="s">
        <v>1200</v>
      </c>
      <c r="F131" s="119" t="s">
        <v>1199</v>
      </c>
      <c r="G131" s="123" t="s">
        <v>21</v>
      </c>
      <c r="H131" s="122">
        <v>23</v>
      </c>
      <c r="I131" s="121"/>
      <c r="J131" s="120">
        <f t="shared" si="0"/>
        <v>0</v>
      </c>
      <c r="K131" s="119" t="s">
        <v>7</v>
      </c>
      <c r="L131" s="118"/>
      <c r="M131" s="117" t="s">
        <v>6</v>
      </c>
      <c r="N131" s="116" t="s">
        <v>5</v>
      </c>
      <c r="P131" s="22">
        <f t="shared" si="1"/>
        <v>0</v>
      </c>
      <c r="Q131" s="22">
        <v>6.9999999999999999E-4</v>
      </c>
      <c r="R131" s="22">
        <f t="shared" si="2"/>
        <v>1.61E-2</v>
      </c>
      <c r="S131" s="22">
        <v>0</v>
      </c>
      <c r="T131" s="21">
        <f t="shared" si="3"/>
        <v>0</v>
      </c>
      <c r="AR131" s="6" t="s">
        <v>283</v>
      </c>
      <c r="AT131" s="6" t="s">
        <v>750</v>
      </c>
      <c r="AU131" s="6" t="s">
        <v>365</v>
      </c>
      <c r="AY131" s="7" t="s">
        <v>3</v>
      </c>
      <c r="BE131" s="8">
        <f t="shared" si="4"/>
        <v>0</v>
      </c>
      <c r="BF131" s="8">
        <f t="shared" si="5"/>
        <v>0</v>
      </c>
      <c r="BG131" s="8">
        <f t="shared" si="6"/>
        <v>0</v>
      </c>
      <c r="BH131" s="8">
        <f t="shared" si="7"/>
        <v>0</v>
      </c>
      <c r="BI131" s="8">
        <f t="shared" si="8"/>
        <v>0</v>
      </c>
      <c r="BJ131" s="7" t="s">
        <v>2</v>
      </c>
      <c r="BK131" s="8">
        <f t="shared" si="9"/>
        <v>0</v>
      </c>
      <c r="BL131" s="7" t="s">
        <v>328</v>
      </c>
      <c r="BM131" s="6" t="s">
        <v>1198</v>
      </c>
    </row>
    <row r="132" spans="2:65" s="2" customFormat="1" ht="16.5" customHeight="1">
      <c r="B132" s="3"/>
      <c r="C132" s="20" t="s">
        <v>336</v>
      </c>
      <c r="D132" s="20" t="s">
        <v>4</v>
      </c>
      <c r="E132" s="19" t="s">
        <v>1197</v>
      </c>
      <c r="F132" s="14" t="s">
        <v>1196</v>
      </c>
      <c r="G132" s="18" t="s">
        <v>21</v>
      </c>
      <c r="H132" s="17">
        <v>1</v>
      </c>
      <c r="I132" s="16"/>
      <c r="J132" s="15">
        <f t="shared" si="0"/>
        <v>0</v>
      </c>
      <c r="K132" s="14" t="s">
        <v>7</v>
      </c>
      <c r="L132" s="3"/>
      <c r="M132" s="24" t="s">
        <v>6</v>
      </c>
      <c r="N132" s="23" t="s">
        <v>5</v>
      </c>
      <c r="P132" s="22">
        <f t="shared" si="1"/>
        <v>0</v>
      </c>
      <c r="Q132" s="22">
        <v>0</v>
      </c>
      <c r="R132" s="22">
        <f t="shared" si="2"/>
        <v>0</v>
      </c>
      <c r="S132" s="22">
        <v>0</v>
      </c>
      <c r="T132" s="21">
        <f t="shared" si="3"/>
        <v>0</v>
      </c>
      <c r="AR132" s="6" t="s">
        <v>328</v>
      </c>
      <c r="AT132" s="6" t="s">
        <v>4</v>
      </c>
      <c r="AU132" s="6" t="s">
        <v>365</v>
      </c>
      <c r="AY132" s="7" t="s">
        <v>3</v>
      </c>
      <c r="BE132" s="8">
        <f t="shared" si="4"/>
        <v>0</v>
      </c>
      <c r="BF132" s="8">
        <f t="shared" si="5"/>
        <v>0</v>
      </c>
      <c r="BG132" s="8">
        <f t="shared" si="6"/>
        <v>0</v>
      </c>
      <c r="BH132" s="8">
        <f t="shared" si="7"/>
        <v>0</v>
      </c>
      <c r="BI132" s="8">
        <f t="shared" si="8"/>
        <v>0</v>
      </c>
      <c r="BJ132" s="7" t="s">
        <v>2</v>
      </c>
      <c r="BK132" s="8">
        <f t="shared" si="9"/>
        <v>0</v>
      </c>
      <c r="BL132" s="7" t="s">
        <v>328</v>
      </c>
      <c r="BM132" s="6" t="s">
        <v>1195</v>
      </c>
    </row>
    <row r="133" spans="2:65" s="2" customFormat="1" ht="24.2" customHeight="1">
      <c r="B133" s="3"/>
      <c r="C133" s="125" t="s">
        <v>334</v>
      </c>
      <c r="D133" s="125" t="s">
        <v>750</v>
      </c>
      <c r="E133" s="124" t="s">
        <v>1194</v>
      </c>
      <c r="F133" s="119" t="s">
        <v>1193</v>
      </c>
      <c r="G133" s="123" t="s">
        <v>21</v>
      </c>
      <c r="H133" s="122">
        <v>1</v>
      </c>
      <c r="I133" s="121"/>
      <c r="J133" s="120">
        <f t="shared" si="0"/>
        <v>0</v>
      </c>
      <c r="K133" s="119" t="s">
        <v>7</v>
      </c>
      <c r="L133" s="118"/>
      <c r="M133" s="117" t="s">
        <v>6</v>
      </c>
      <c r="N133" s="116" t="s">
        <v>5</v>
      </c>
      <c r="P133" s="22">
        <f t="shared" si="1"/>
        <v>0</v>
      </c>
      <c r="Q133" s="22">
        <v>8.0000000000000004E-4</v>
      </c>
      <c r="R133" s="22">
        <f t="shared" si="2"/>
        <v>8.0000000000000004E-4</v>
      </c>
      <c r="S133" s="22">
        <v>0</v>
      </c>
      <c r="T133" s="21">
        <f t="shared" si="3"/>
        <v>0</v>
      </c>
      <c r="AR133" s="6" t="s">
        <v>283</v>
      </c>
      <c r="AT133" s="6" t="s">
        <v>750</v>
      </c>
      <c r="AU133" s="6" t="s">
        <v>365</v>
      </c>
      <c r="AY133" s="7" t="s">
        <v>3</v>
      </c>
      <c r="BE133" s="8">
        <f t="shared" si="4"/>
        <v>0</v>
      </c>
      <c r="BF133" s="8">
        <f t="shared" si="5"/>
        <v>0</v>
      </c>
      <c r="BG133" s="8">
        <f t="shared" si="6"/>
        <v>0</v>
      </c>
      <c r="BH133" s="8">
        <f t="shared" si="7"/>
        <v>0</v>
      </c>
      <c r="BI133" s="8">
        <f t="shared" si="8"/>
        <v>0</v>
      </c>
      <c r="BJ133" s="7" t="s">
        <v>2</v>
      </c>
      <c r="BK133" s="8">
        <f t="shared" si="9"/>
        <v>0</v>
      </c>
      <c r="BL133" s="7" t="s">
        <v>328</v>
      </c>
      <c r="BM133" s="6" t="s">
        <v>1192</v>
      </c>
    </row>
    <row r="134" spans="2:65" s="2" customFormat="1" ht="16.5" customHeight="1">
      <c r="B134" s="3"/>
      <c r="C134" s="20" t="s">
        <v>332</v>
      </c>
      <c r="D134" s="20" t="s">
        <v>4</v>
      </c>
      <c r="E134" s="19" t="s">
        <v>1191</v>
      </c>
      <c r="F134" s="14" t="s">
        <v>1190</v>
      </c>
      <c r="G134" s="18" t="s">
        <v>21</v>
      </c>
      <c r="H134" s="17">
        <v>46</v>
      </c>
      <c r="I134" s="16"/>
      <c r="J134" s="15">
        <f t="shared" si="0"/>
        <v>0</v>
      </c>
      <c r="K134" s="14" t="s">
        <v>7</v>
      </c>
      <c r="L134" s="3"/>
      <c r="M134" s="24" t="s">
        <v>6</v>
      </c>
      <c r="N134" s="23" t="s">
        <v>5</v>
      </c>
      <c r="P134" s="22">
        <f t="shared" si="1"/>
        <v>0</v>
      </c>
      <c r="Q134" s="22">
        <v>0</v>
      </c>
      <c r="R134" s="22">
        <f t="shared" si="2"/>
        <v>0</v>
      </c>
      <c r="S134" s="22">
        <v>0</v>
      </c>
      <c r="T134" s="21">
        <f t="shared" si="3"/>
        <v>0</v>
      </c>
      <c r="AR134" s="6" t="s">
        <v>328</v>
      </c>
      <c r="AT134" s="6" t="s">
        <v>4</v>
      </c>
      <c r="AU134" s="6" t="s">
        <v>365</v>
      </c>
      <c r="AY134" s="7" t="s">
        <v>3</v>
      </c>
      <c r="BE134" s="8">
        <f t="shared" si="4"/>
        <v>0</v>
      </c>
      <c r="BF134" s="8">
        <f t="shared" si="5"/>
        <v>0</v>
      </c>
      <c r="BG134" s="8">
        <f t="shared" si="6"/>
        <v>0</v>
      </c>
      <c r="BH134" s="8">
        <f t="shared" si="7"/>
        <v>0</v>
      </c>
      <c r="BI134" s="8">
        <f t="shared" si="8"/>
        <v>0</v>
      </c>
      <c r="BJ134" s="7" t="s">
        <v>2</v>
      </c>
      <c r="BK134" s="8">
        <f t="shared" si="9"/>
        <v>0</v>
      </c>
      <c r="BL134" s="7" t="s">
        <v>328</v>
      </c>
      <c r="BM134" s="6" t="s">
        <v>1189</v>
      </c>
    </row>
    <row r="135" spans="2:65" s="2" customFormat="1" ht="24.2" customHeight="1">
      <c r="B135" s="3"/>
      <c r="C135" s="125" t="s">
        <v>328</v>
      </c>
      <c r="D135" s="125" t="s">
        <v>750</v>
      </c>
      <c r="E135" s="124" t="s">
        <v>1188</v>
      </c>
      <c r="F135" s="119" t="s">
        <v>1187</v>
      </c>
      <c r="G135" s="123" t="s">
        <v>21</v>
      </c>
      <c r="H135" s="122">
        <v>46</v>
      </c>
      <c r="I135" s="121"/>
      <c r="J135" s="120">
        <f t="shared" si="0"/>
        <v>0</v>
      </c>
      <c r="K135" s="119" t="s">
        <v>7</v>
      </c>
      <c r="L135" s="118"/>
      <c r="M135" s="117" t="s">
        <v>6</v>
      </c>
      <c r="N135" s="116" t="s">
        <v>5</v>
      </c>
      <c r="P135" s="22">
        <f t="shared" si="1"/>
        <v>0</v>
      </c>
      <c r="Q135" s="22">
        <v>1E-3</v>
      </c>
      <c r="R135" s="22">
        <f t="shared" si="2"/>
        <v>4.5999999999999999E-2</v>
      </c>
      <c r="S135" s="22">
        <v>0</v>
      </c>
      <c r="T135" s="21">
        <f t="shared" si="3"/>
        <v>0</v>
      </c>
      <c r="AR135" s="6" t="s">
        <v>283</v>
      </c>
      <c r="AT135" s="6" t="s">
        <v>750</v>
      </c>
      <c r="AU135" s="6" t="s">
        <v>365</v>
      </c>
      <c r="AY135" s="7" t="s">
        <v>3</v>
      </c>
      <c r="BE135" s="8">
        <f t="shared" si="4"/>
        <v>0</v>
      </c>
      <c r="BF135" s="8">
        <f t="shared" si="5"/>
        <v>0</v>
      </c>
      <c r="BG135" s="8">
        <f t="shared" si="6"/>
        <v>0</v>
      </c>
      <c r="BH135" s="8">
        <f t="shared" si="7"/>
        <v>0</v>
      </c>
      <c r="BI135" s="8">
        <f t="shared" si="8"/>
        <v>0</v>
      </c>
      <c r="BJ135" s="7" t="s">
        <v>2</v>
      </c>
      <c r="BK135" s="8">
        <f t="shared" si="9"/>
        <v>0</v>
      </c>
      <c r="BL135" s="7" t="s">
        <v>328</v>
      </c>
      <c r="BM135" s="6" t="s">
        <v>1186</v>
      </c>
    </row>
    <row r="136" spans="2:65" s="2" customFormat="1" ht="16.5" customHeight="1">
      <c r="B136" s="3"/>
      <c r="C136" s="20" t="s">
        <v>323</v>
      </c>
      <c r="D136" s="20" t="s">
        <v>4</v>
      </c>
      <c r="E136" s="19" t="s">
        <v>1185</v>
      </c>
      <c r="F136" s="14" t="s">
        <v>1184</v>
      </c>
      <c r="G136" s="18" t="s">
        <v>21</v>
      </c>
      <c r="H136" s="17">
        <v>9</v>
      </c>
      <c r="I136" s="16"/>
      <c r="J136" s="15">
        <f t="shared" si="0"/>
        <v>0</v>
      </c>
      <c r="K136" s="14" t="s">
        <v>7</v>
      </c>
      <c r="L136" s="3"/>
      <c r="M136" s="24" t="s">
        <v>6</v>
      </c>
      <c r="N136" s="23" t="s">
        <v>5</v>
      </c>
      <c r="P136" s="22">
        <f t="shared" si="1"/>
        <v>0</v>
      </c>
      <c r="Q136" s="22">
        <v>0</v>
      </c>
      <c r="R136" s="22">
        <f t="shared" si="2"/>
        <v>0</v>
      </c>
      <c r="S136" s="22">
        <v>0</v>
      </c>
      <c r="T136" s="21">
        <f t="shared" si="3"/>
        <v>0</v>
      </c>
      <c r="AR136" s="6" t="s">
        <v>328</v>
      </c>
      <c r="AT136" s="6" t="s">
        <v>4</v>
      </c>
      <c r="AU136" s="6" t="s">
        <v>365</v>
      </c>
      <c r="AY136" s="7" t="s">
        <v>3</v>
      </c>
      <c r="BE136" s="8">
        <f t="shared" si="4"/>
        <v>0</v>
      </c>
      <c r="BF136" s="8">
        <f t="shared" si="5"/>
        <v>0</v>
      </c>
      <c r="BG136" s="8">
        <f t="shared" si="6"/>
        <v>0</v>
      </c>
      <c r="BH136" s="8">
        <f t="shared" si="7"/>
        <v>0</v>
      </c>
      <c r="BI136" s="8">
        <f t="shared" si="8"/>
        <v>0</v>
      </c>
      <c r="BJ136" s="7" t="s">
        <v>2</v>
      </c>
      <c r="BK136" s="8">
        <f t="shared" si="9"/>
        <v>0</v>
      </c>
      <c r="BL136" s="7" t="s">
        <v>328</v>
      </c>
      <c r="BM136" s="6" t="s">
        <v>1183</v>
      </c>
    </row>
    <row r="137" spans="2:65" s="2" customFormat="1" ht="24.2" customHeight="1">
      <c r="B137" s="3"/>
      <c r="C137" s="125" t="s">
        <v>320</v>
      </c>
      <c r="D137" s="125" t="s">
        <v>750</v>
      </c>
      <c r="E137" s="124" t="s">
        <v>1182</v>
      </c>
      <c r="F137" s="119" t="s">
        <v>1181</v>
      </c>
      <c r="G137" s="123" t="s">
        <v>21</v>
      </c>
      <c r="H137" s="122">
        <v>9</v>
      </c>
      <c r="I137" s="121"/>
      <c r="J137" s="120">
        <f t="shared" si="0"/>
        <v>0</v>
      </c>
      <c r="K137" s="119" t="s">
        <v>7</v>
      </c>
      <c r="L137" s="118"/>
      <c r="M137" s="117" t="s">
        <v>6</v>
      </c>
      <c r="N137" s="116" t="s">
        <v>5</v>
      </c>
      <c r="P137" s="22">
        <f t="shared" si="1"/>
        <v>0</v>
      </c>
      <c r="Q137" s="22">
        <v>2E-3</v>
      </c>
      <c r="R137" s="22">
        <f t="shared" si="2"/>
        <v>1.8000000000000002E-2</v>
      </c>
      <c r="S137" s="22">
        <v>0</v>
      </c>
      <c r="T137" s="21">
        <f t="shared" si="3"/>
        <v>0</v>
      </c>
      <c r="AR137" s="6" t="s">
        <v>283</v>
      </c>
      <c r="AT137" s="6" t="s">
        <v>750</v>
      </c>
      <c r="AU137" s="6" t="s">
        <v>365</v>
      </c>
      <c r="AY137" s="7" t="s">
        <v>3</v>
      </c>
      <c r="BE137" s="8">
        <f t="shared" si="4"/>
        <v>0</v>
      </c>
      <c r="BF137" s="8">
        <f t="shared" si="5"/>
        <v>0</v>
      </c>
      <c r="BG137" s="8">
        <f t="shared" si="6"/>
        <v>0</v>
      </c>
      <c r="BH137" s="8">
        <f t="shared" si="7"/>
        <v>0</v>
      </c>
      <c r="BI137" s="8">
        <f t="shared" si="8"/>
        <v>0</v>
      </c>
      <c r="BJ137" s="7" t="s">
        <v>2</v>
      </c>
      <c r="BK137" s="8">
        <f t="shared" si="9"/>
        <v>0</v>
      </c>
      <c r="BL137" s="7" t="s">
        <v>328</v>
      </c>
      <c r="BM137" s="6" t="s">
        <v>1180</v>
      </c>
    </row>
    <row r="138" spans="2:65" s="2" customFormat="1" ht="16.5" customHeight="1">
      <c r="B138" s="3"/>
      <c r="C138" s="20" t="s">
        <v>317</v>
      </c>
      <c r="D138" s="20" t="s">
        <v>4</v>
      </c>
      <c r="E138" s="19" t="s">
        <v>1179</v>
      </c>
      <c r="F138" s="14" t="s">
        <v>1178</v>
      </c>
      <c r="G138" s="18" t="s">
        <v>21</v>
      </c>
      <c r="H138" s="17">
        <v>9</v>
      </c>
      <c r="I138" s="16"/>
      <c r="J138" s="15">
        <f t="shared" si="0"/>
        <v>0</v>
      </c>
      <c r="K138" s="14" t="s">
        <v>7</v>
      </c>
      <c r="L138" s="3"/>
      <c r="M138" s="24" t="s">
        <v>6</v>
      </c>
      <c r="N138" s="23" t="s">
        <v>5</v>
      </c>
      <c r="P138" s="22">
        <f t="shared" si="1"/>
        <v>0</v>
      </c>
      <c r="Q138" s="22">
        <v>0</v>
      </c>
      <c r="R138" s="22">
        <f t="shared" si="2"/>
        <v>0</v>
      </c>
      <c r="S138" s="22">
        <v>0</v>
      </c>
      <c r="T138" s="21">
        <f t="shared" si="3"/>
        <v>0</v>
      </c>
      <c r="AR138" s="6" t="s">
        <v>328</v>
      </c>
      <c r="AT138" s="6" t="s">
        <v>4</v>
      </c>
      <c r="AU138" s="6" t="s">
        <v>365</v>
      </c>
      <c r="AY138" s="7" t="s">
        <v>3</v>
      </c>
      <c r="BE138" s="8">
        <f t="shared" si="4"/>
        <v>0</v>
      </c>
      <c r="BF138" s="8">
        <f t="shared" si="5"/>
        <v>0</v>
      </c>
      <c r="BG138" s="8">
        <f t="shared" si="6"/>
        <v>0</v>
      </c>
      <c r="BH138" s="8">
        <f t="shared" si="7"/>
        <v>0</v>
      </c>
      <c r="BI138" s="8">
        <f t="shared" si="8"/>
        <v>0</v>
      </c>
      <c r="BJ138" s="7" t="s">
        <v>2</v>
      </c>
      <c r="BK138" s="8">
        <f t="shared" si="9"/>
        <v>0</v>
      </c>
      <c r="BL138" s="7" t="s">
        <v>328</v>
      </c>
      <c r="BM138" s="6" t="s">
        <v>1177</v>
      </c>
    </row>
    <row r="139" spans="2:65" s="2" customFormat="1" ht="24.2" customHeight="1">
      <c r="B139" s="3"/>
      <c r="C139" s="125" t="s">
        <v>314</v>
      </c>
      <c r="D139" s="125" t="s">
        <v>750</v>
      </c>
      <c r="E139" s="124" t="s">
        <v>1176</v>
      </c>
      <c r="F139" s="119" t="s">
        <v>1175</v>
      </c>
      <c r="G139" s="123" t="s">
        <v>21</v>
      </c>
      <c r="H139" s="122">
        <v>9</v>
      </c>
      <c r="I139" s="121"/>
      <c r="J139" s="120">
        <f t="shared" si="0"/>
        <v>0</v>
      </c>
      <c r="K139" s="119" t="s">
        <v>7</v>
      </c>
      <c r="L139" s="118"/>
      <c r="M139" s="117" t="s">
        <v>6</v>
      </c>
      <c r="N139" s="116" t="s">
        <v>5</v>
      </c>
      <c r="P139" s="22">
        <f t="shared" si="1"/>
        <v>0</v>
      </c>
      <c r="Q139" s="22">
        <v>2.5000000000000001E-3</v>
      </c>
      <c r="R139" s="22">
        <f t="shared" si="2"/>
        <v>2.2499999999999999E-2</v>
      </c>
      <c r="S139" s="22">
        <v>0</v>
      </c>
      <c r="T139" s="21">
        <f t="shared" si="3"/>
        <v>0</v>
      </c>
      <c r="AR139" s="6" t="s">
        <v>283</v>
      </c>
      <c r="AT139" s="6" t="s">
        <v>750</v>
      </c>
      <c r="AU139" s="6" t="s">
        <v>365</v>
      </c>
      <c r="AY139" s="7" t="s">
        <v>3</v>
      </c>
      <c r="BE139" s="8">
        <f t="shared" si="4"/>
        <v>0</v>
      </c>
      <c r="BF139" s="8">
        <f t="shared" si="5"/>
        <v>0</v>
      </c>
      <c r="BG139" s="8">
        <f t="shared" si="6"/>
        <v>0</v>
      </c>
      <c r="BH139" s="8">
        <f t="shared" si="7"/>
        <v>0</v>
      </c>
      <c r="BI139" s="8">
        <f t="shared" si="8"/>
        <v>0</v>
      </c>
      <c r="BJ139" s="7" t="s">
        <v>2</v>
      </c>
      <c r="BK139" s="8">
        <f t="shared" si="9"/>
        <v>0</v>
      </c>
      <c r="BL139" s="7" t="s">
        <v>328</v>
      </c>
      <c r="BM139" s="6" t="s">
        <v>1174</v>
      </c>
    </row>
    <row r="140" spans="2:65" s="2" customFormat="1" ht="16.5" customHeight="1">
      <c r="B140" s="3"/>
      <c r="C140" s="20" t="s">
        <v>311</v>
      </c>
      <c r="D140" s="20" t="s">
        <v>4</v>
      </c>
      <c r="E140" s="19" t="s">
        <v>1173</v>
      </c>
      <c r="F140" s="14" t="s">
        <v>1167</v>
      </c>
      <c r="G140" s="18" t="s">
        <v>21</v>
      </c>
      <c r="H140" s="17">
        <v>3</v>
      </c>
      <c r="I140" s="16"/>
      <c r="J140" s="15">
        <f t="shared" si="0"/>
        <v>0</v>
      </c>
      <c r="K140" s="14" t="s">
        <v>7</v>
      </c>
      <c r="L140" s="3"/>
      <c r="M140" s="24" t="s">
        <v>6</v>
      </c>
      <c r="N140" s="23" t="s">
        <v>5</v>
      </c>
      <c r="P140" s="22">
        <f t="shared" si="1"/>
        <v>0</v>
      </c>
      <c r="Q140" s="22">
        <v>0</v>
      </c>
      <c r="R140" s="22">
        <f t="shared" si="2"/>
        <v>0</v>
      </c>
      <c r="S140" s="22">
        <v>0</v>
      </c>
      <c r="T140" s="21">
        <f t="shared" si="3"/>
        <v>0</v>
      </c>
      <c r="AR140" s="6" t="s">
        <v>328</v>
      </c>
      <c r="AT140" s="6" t="s">
        <v>4</v>
      </c>
      <c r="AU140" s="6" t="s">
        <v>365</v>
      </c>
      <c r="AY140" s="7" t="s">
        <v>3</v>
      </c>
      <c r="BE140" s="8">
        <f t="shared" si="4"/>
        <v>0</v>
      </c>
      <c r="BF140" s="8">
        <f t="shared" si="5"/>
        <v>0</v>
      </c>
      <c r="BG140" s="8">
        <f t="shared" si="6"/>
        <v>0</v>
      </c>
      <c r="BH140" s="8">
        <f t="shared" si="7"/>
        <v>0</v>
      </c>
      <c r="BI140" s="8">
        <f t="shared" si="8"/>
        <v>0</v>
      </c>
      <c r="BJ140" s="7" t="s">
        <v>2</v>
      </c>
      <c r="BK140" s="8">
        <f t="shared" si="9"/>
        <v>0</v>
      </c>
      <c r="BL140" s="7" t="s">
        <v>328</v>
      </c>
      <c r="BM140" s="6" t="s">
        <v>1172</v>
      </c>
    </row>
    <row r="141" spans="2:65" s="2" customFormat="1" ht="24.2" customHeight="1">
      <c r="B141" s="3"/>
      <c r="C141" s="125" t="s">
        <v>308</v>
      </c>
      <c r="D141" s="125" t="s">
        <v>750</v>
      </c>
      <c r="E141" s="124" t="s">
        <v>1171</v>
      </c>
      <c r="F141" s="119" t="s">
        <v>1170</v>
      </c>
      <c r="G141" s="123" t="s">
        <v>21</v>
      </c>
      <c r="H141" s="122">
        <v>3</v>
      </c>
      <c r="I141" s="121"/>
      <c r="J141" s="120">
        <f t="shared" si="0"/>
        <v>0</v>
      </c>
      <c r="K141" s="119" t="s">
        <v>1151</v>
      </c>
      <c r="L141" s="118"/>
      <c r="M141" s="117" t="s">
        <v>6</v>
      </c>
      <c r="N141" s="116" t="s">
        <v>5</v>
      </c>
      <c r="P141" s="22">
        <f t="shared" si="1"/>
        <v>0</v>
      </c>
      <c r="Q141" s="22">
        <v>3.5000000000000001E-3</v>
      </c>
      <c r="R141" s="22">
        <f t="shared" si="2"/>
        <v>1.0500000000000001E-2</v>
      </c>
      <c r="S141" s="22">
        <v>0</v>
      </c>
      <c r="T141" s="21">
        <f t="shared" si="3"/>
        <v>0</v>
      </c>
      <c r="AR141" s="6" t="s">
        <v>283</v>
      </c>
      <c r="AT141" s="6" t="s">
        <v>750</v>
      </c>
      <c r="AU141" s="6" t="s">
        <v>365</v>
      </c>
      <c r="AY141" s="7" t="s">
        <v>3</v>
      </c>
      <c r="BE141" s="8">
        <f t="shared" si="4"/>
        <v>0</v>
      </c>
      <c r="BF141" s="8">
        <f t="shared" si="5"/>
        <v>0</v>
      </c>
      <c r="BG141" s="8">
        <f t="shared" si="6"/>
        <v>0</v>
      </c>
      <c r="BH141" s="8">
        <f t="shared" si="7"/>
        <v>0</v>
      </c>
      <c r="BI141" s="8">
        <f t="shared" si="8"/>
        <v>0</v>
      </c>
      <c r="BJ141" s="7" t="s">
        <v>2</v>
      </c>
      <c r="BK141" s="8">
        <f t="shared" si="9"/>
        <v>0</v>
      </c>
      <c r="BL141" s="7" t="s">
        <v>328</v>
      </c>
      <c r="BM141" s="6" t="s">
        <v>1169</v>
      </c>
    </row>
    <row r="142" spans="2:65" s="2" customFormat="1" ht="16.5" customHeight="1">
      <c r="B142" s="3"/>
      <c r="C142" s="20" t="s">
        <v>305</v>
      </c>
      <c r="D142" s="20" t="s">
        <v>4</v>
      </c>
      <c r="E142" s="19" t="s">
        <v>1168</v>
      </c>
      <c r="F142" s="14" t="s">
        <v>1167</v>
      </c>
      <c r="G142" s="18" t="s">
        <v>21</v>
      </c>
      <c r="H142" s="17">
        <v>15</v>
      </c>
      <c r="I142" s="16"/>
      <c r="J142" s="15">
        <f t="shared" si="0"/>
        <v>0</v>
      </c>
      <c r="K142" s="14" t="s">
        <v>1151</v>
      </c>
      <c r="L142" s="3"/>
      <c r="M142" s="24" t="s">
        <v>6</v>
      </c>
      <c r="N142" s="23" t="s">
        <v>5</v>
      </c>
      <c r="P142" s="22">
        <f t="shared" si="1"/>
        <v>0</v>
      </c>
      <c r="Q142" s="22">
        <v>0</v>
      </c>
      <c r="R142" s="22">
        <f t="shared" si="2"/>
        <v>0</v>
      </c>
      <c r="S142" s="22">
        <v>0</v>
      </c>
      <c r="T142" s="21">
        <f t="shared" si="3"/>
        <v>0</v>
      </c>
      <c r="AR142" s="6" t="s">
        <v>328</v>
      </c>
      <c r="AT142" s="6" t="s">
        <v>4</v>
      </c>
      <c r="AU142" s="6" t="s">
        <v>365</v>
      </c>
      <c r="AY142" s="7" t="s">
        <v>3</v>
      </c>
      <c r="BE142" s="8">
        <f t="shared" si="4"/>
        <v>0</v>
      </c>
      <c r="BF142" s="8">
        <f t="shared" si="5"/>
        <v>0</v>
      </c>
      <c r="BG142" s="8">
        <f t="shared" si="6"/>
        <v>0</v>
      </c>
      <c r="BH142" s="8">
        <f t="shared" si="7"/>
        <v>0</v>
      </c>
      <c r="BI142" s="8">
        <f t="shared" si="8"/>
        <v>0</v>
      </c>
      <c r="BJ142" s="7" t="s">
        <v>2</v>
      </c>
      <c r="BK142" s="8">
        <f t="shared" si="9"/>
        <v>0</v>
      </c>
      <c r="BL142" s="7" t="s">
        <v>328</v>
      </c>
      <c r="BM142" s="6" t="s">
        <v>1166</v>
      </c>
    </row>
    <row r="143" spans="2:65" s="2" customFormat="1" ht="24.2" customHeight="1">
      <c r="B143" s="3"/>
      <c r="C143" s="125" t="s">
        <v>300</v>
      </c>
      <c r="D143" s="125" t="s">
        <v>750</v>
      </c>
      <c r="E143" s="124" t="s">
        <v>1165</v>
      </c>
      <c r="F143" s="119" t="s">
        <v>1164</v>
      </c>
      <c r="G143" s="123" t="s">
        <v>21</v>
      </c>
      <c r="H143" s="122">
        <v>15</v>
      </c>
      <c r="I143" s="121"/>
      <c r="J143" s="120">
        <f t="shared" si="0"/>
        <v>0</v>
      </c>
      <c r="K143" s="119" t="s">
        <v>1151</v>
      </c>
      <c r="L143" s="118"/>
      <c r="M143" s="117" t="s">
        <v>6</v>
      </c>
      <c r="N143" s="116" t="s">
        <v>5</v>
      </c>
      <c r="P143" s="22">
        <f t="shared" si="1"/>
        <v>0</v>
      </c>
      <c r="Q143" s="22">
        <v>3.5000000000000001E-3</v>
      </c>
      <c r="R143" s="22">
        <f t="shared" si="2"/>
        <v>5.2499999999999998E-2</v>
      </c>
      <c r="S143" s="22">
        <v>0</v>
      </c>
      <c r="T143" s="21">
        <f t="shared" si="3"/>
        <v>0</v>
      </c>
      <c r="AR143" s="6" t="s">
        <v>283</v>
      </c>
      <c r="AT143" s="6" t="s">
        <v>750</v>
      </c>
      <c r="AU143" s="6" t="s">
        <v>365</v>
      </c>
      <c r="AY143" s="7" t="s">
        <v>3</v>
      </c>
      <c r="BE143" s="8">
        <f t="shared" si="4"/>
        <v>0</v>
      </c>
      <c r="BF143" s="8">
        <f t="shared" si="5"/>
        <v>0</v>
      </c>
      <c r="BG143" s="8">
        <f t="shared" si="6"/>
        <v>0</v>
      </c>
      <c r="BH143" s="8">
        <f t="shared" si="7"/>
        <v>0</v>
      </c>
      <c r="BI143" s="8">
        <f t="shared" si="8"/>
        <v>0</v>
      </c>
      <c r="BJ143" s="7" t="s">
        <v>2</v>
      </c>
      <c r="BK143" s="8">
        <f t="shared" si="9"/>
        <v>0</v>
      </c>
      <c r="BL143" s="7" t="s">
        <v>328</v>
      </c>
      <c r="BM143" s="6" t="s">
        <v>1163</v>
      </c>
    </row>
    <row r="144" spans="2:65" s="2" customFormat="1" ht="16.5" customHeight="1">
      <c r="B144" s="3"/>
      <c r="C144" s="20" t="s">
        <v>298</v>
      </c>
      <c r="D144" s="20" t="s">
        <v>4</v>
      </c>
      <c r="E144" s="19" t="s">
        <v>1162</v>
      </c>
      <c r="F144" s="14" t="s">
        <v>1161</v>
      </c>
      <c r="G144" s="18" t="s">
        <v>21</v>
      </c>
      <c r="H144" s="17">
        <v>6</v>
      </c>
      <c r="I144" s="16"/>
      <c r="J144" s="15">
        <f t="shared" si="0"/>
        <v>0</v>
      </c>
      <c r="K144" s="14" t="s">
        <v>1151</v>
      </c>
      <c r="L144" s="3"/>
      <c r="M144" s="24" t="s">
        <v>6</v>
      </c>
      <c r="N144" s="23" t="s">
        <v>5</v>
      </c>
      <c r="P144" s="22">
        <f t="shared" si="1"/>
        <v>0</v>
      </c>
      <c r="Q144" s="22">
        <v>0</v>
      </c>
      <c r="R144" s="22">
        <f t="shared" si="2"/>
        <v>0</v>
      </c>
      <c r="S144" s="22">
        <v>0</v>
      </c>
      <c r="T144" s="21">
        <f t="shared" si="3"/>
        <v>0</v>
      </c>
      <c r="AR144" s="6" t="s">
        <v>328</v>
      </c>
      <c r="AT144" s="6" t="s">
        <v>4</v>
      </c>
      <c r="AU144" s="6" t="s">
        <v>365</v>
      </c>
      <c r="AY144" s="7" t="s">
        <v>3</v>
      </c>
      <c r="BE144" s="8">
        <f t="shared" si="4"/>
        <v>0</v>
      </c>
      <c r="BF144" s="8">
        <f t="shared" si="5"/>
        <v>0</v>
      </c>
      <c r="BG144" s="8">
        <f t="shared" si="6"/>
        <v>0</v>
      </c>
      <c r="BH144" s="8">
        <f t="shared" si="7"/>
        <v>0</v>
      </c>
      <c r="BI144" s="8">
        <f t="shared" si="8"/>
        <v>0</v>
      </c>
      <c r="BJ144" s="7" t="s">
        <v>2</v>
      </c>
      <c r="BK144" s="8">
        <f t="shared" si="9"/>
        <v>0</v>
      </c>
      <c r="BL144" s="7" t="s">
        <v>328</v>
      </c>
      <c r="BM144" s="6" t="s">
        <v>1160</v>
      </c>
    </row>
    <row r="145" spans="2:65" s="2" customFormat="1" ht="24.2" customHeight="1">
      <c r="B145" s="3"/>
      <c r="C145" s="125" t="s">
        <v>296</v>
      </c>
      <c r="D145" s="125" t="s">
        <v>750</v>
      </c>
      <c r="E145" s="124" t="s">
        <v>1159</v>
      </c>
      <c r="F145" s="119" t="s">
        <v>1158</v>
      </c>
      <c r="G145" s="123" t="s">
        <v>21</v>
      </c>
      <c r="H145" s="122">
        <v>6</v>
      </c>
      <c r="I145" s="121"/>
      <c r="J145" s="120">
        <f t="shared" si="0"/>
        <v>0</v>
      </c>
      <c r="K145" s="119" t="s">
        <v>1151</v>
      </c>
      <c r="L145" s="118"/>
      <c r="M145" s="117" t="s">
        <v>6</v>
      </c>
      <c r="N145" s="116" t="s">
        <v>5</v>
      </c>
      <c r="P145" s="22">
        <f t="shared" si="1"/>
        <v>0</v>
      </c>
      <c r="Q145" s="22">
        <v>4.4999999999999997E-3</v>
      </c>
      <c r="R145" s="22">
        <f t="shared" si="2"/>
        <v>2.6999999999999996E-2</v>
      </c>
      <c r="S145" s="22">
        <v>0</v>
      </c>
      <c r="T145" s="21">
        <f t="shared" si="3"/>
        <v>0</v>
      </c>
      <c r="AR145" s="6" t="s">
        <v>283</v>
      </c>
      <c r="AT145" s="6" t="s">
        <v>750</v>
      </c>
      <c r="AU145" s="6" t="s">
        <v>365</v>
      </c>
      <c r="AY145" s="7" t="s">
        <v>3</v>
      </c>
      <c r="BE145" s="8">
        <f t="shared" si="4"/>
        <v>0</v>
      </c>
      <c r="BF145" s="8">
        <f t="shared" si="5"/>
        <v>0</v>
      </c>
      <c r="BG145" s="8">
        <f t="shared" si="6"/>
        <v>0</v>
      </c>
      <c r="BH145" s="8">
        <f t="shared" si="7"/>
        <v>0</v>
      </c>
      <c r="BI145" s="8">
        <f t="shared" si="8"/>
        <v>0</v>
      </c>
      <c r="BJ145" s="7" t="s">
        <v>2</v>
      </c>
      <c r="BK145" s="8">
        <f t="shared" si="9"/>
        <v>0</v>
      </c>
      <c r="BL145" s="7" t="s">
        <v>328</v>
      </c>
      <c r="BM145" s="6" t="s">
        <v>1157</v>
      </c>
    </row>
    <row r="146" spans="2:65" s="2" customFormat="1" ht="24.2" customHeight="1">
      <c r="B146" s="3"/>
      <c r="C146" s="20" t="s">
        <v>294</v>
      </c>
      <c r="D146" s="20" t="s">
        <v>4</v>
      </c>
      <c r="E146" s="19" t="s">
        <v>1156</v>
      </c>
      <c r="F146" s="14" t="s">
        <v>1155</v>
      </c>
      <c r="G146" s="18" t="s">
        <v>691</v>
      </c>
      <c r="H146" s="17">
        <v>10</v>
      </c>
      <c r="I146" s="16"/>
      <c r="J146" s="15">
        <f t="shared" si="0"/>
        <v>0</v>
      </c>
      <c r="K146" s="14" t="s">
        <v>1151</v>
      </c>
      <c r="L146" s="3"/>
      <c r="M146" s="24" t="s">
        <v>6</v>
      </c>
      <c r="N146" s="23" t="s">
        <v>5</v>
      </c>
      <c r="P146" s="22">
        <f t="shared" si="1"/>
        <v>0</v>
      </c>
      <c r="Q146" s="22">
        <v>3.5E-4</v>
      </c>
      <c r="R146" s="22">
        <f t="shared" si="2"/>
        <v>3.5000000000000001E-3</v>
      </c>
      <c r="S146" s="22">
        <v>0</v>
      </c>
      <c r="T146" s="21">
        <f t="shared" si="3"/>
        <v>0</v>
      </c>
      <c r="AR146" s="6" t="s">
        <v>328</v>
      </c>
      <c r="AT146" s="6" t="s">
        <v>4</v>
      </c>
      <c r="AU146" s="6" t="s">
        <v>365</v>
      </c>
      <c r="AY146" s="7" t="s">
        <v>3</v>
      </c>
      <c r="BE146" s="8">
        <f t="shared" si="4"/>
        <v>0</v>
      </c>
      <c r="BF146" s="8">
        <f t="shared" si="5"/>
        <v>0</v>
      </c>
      <c r="BG146" s="8">
        <f t="shared" si="6"/>
        <v>0</v>
      </c>
      <c r="BH146" s="8">
        <f t="shared" si="7"/>
        <v>0</v>
      </c>
      <c r="BI146" s="8">
        <f t="shared" si="8"/>
        <v>0</v>
      </c>
      <c r="BJ146" s="7" t="s">
        <v>2</v>
      </c>
      <c r="BK146" s="8">
        <f t="shared" si="9"/>
        <v>0</v>
      </c>
      <c r="BL146" s="7" t="s">
        <v>328</v>
      </c>
      <c r="BM146" s="6" t="s">
        <v>1154</v>
      </c>
    </row>
    <row r="147" spans="2:65" s="2" customFormat="1" ht="24.2" customHeight="1">
      <c r="B147" s="3"/>
      <c r="C147" s="125" t="s">
        <v>292</v>
      </c>
      <c r="D147" s="125" t="s">
        <v>750</v>
      </c>
      <c r="E147" s="124" t="s">
        <v>1153</v>
      </c>
      <c r="F147" s="119" t="s">
        <v>1152</v>
      </c>
      <c r="G147" s="123" t="s">
        <v>691</v>
      </c>
      <c r="H147" s="122">
        <v>10</v>
      </c>
      <c r="I147" s="121"/>
      <c r="J147" s="120">
        <f t="shared" si="0"/>
        <v>0</v>
      </c>
      <c r="K147" s="119" t="s">
        <v>1151</v>
      </c>
      <c r="L147" s="118"/>
      <c r="M147" s="117" t="s">
        <v>6</v>
      </c>
      <c r="N147" s="116" t="s">
        <v>5</v>
      </c>
      <c r="P147" s="22">
        <f t="shared" si="1"/>
        <v>0</v>
      </c>
      <c r="Q147" s="22">
        <v>3.0000000000000001E-3</v>
      </c>
      <c r="R147" s="22">
        <f t="shared" si="2"/>
        <v>0.03</v>
      </c>
      <c r="S147" s="22">
        <v>0</v>
      </c>
      <c r="T147" s="21">
        <f t="shared" si="3"/>
        <v>0</v>
      </c>
      <c r="AR147" s="6" t="s">
        <v>283</v>
      </c>
      <c r="AT147" s="6" t="s">
        <v>750</v>
      </c>
      <c r="AU147" s="6" t="s">
        <v>365</v>
      </c>
      <c r="AY147" s="7" t="s">
        <v>3</v>
      </c>
      <c r="BE147" s="8">
        <f t="shared" si="4"/>
        <v>0</v>
      </c>
      <c r="BF147" s="8">
        <f t="shared" si="5"/>
        <v>0</v>
      </c>
      <c r="BG147" s="8">
        <f t="shared" si="6"/>
        <v>0</v>
      </c>
      <c r="BH147" s="8">
        <f t="shared" si="7"/>
        <v>0</v>
      </c>
      <c r="BI147" s="8">
        <f t="shared" si="8"/>
        <v>0</v>
      </c>
      <c r="BJ147" s="7" t="s">
        <v>2</v>
      </c>
      <c r="BK147" s="8">
        <f t="shared" si="9"/>
        <v>0</v>
      </c>
      <c r="BL147" s="7" t="s">
        <v>328</v>
      </c>
      <c r="BM147" s="6" t="s">
        <v>1150</v>
      </c>
    </row>
    <row r="148" spans="2:65" s="2" customFormat="1" ht="24.2" customHeight="1">
      <c r="B148" s="3"/>
      <c r="C148" s="20" t="s">
        <v>290</v>
      </c>
      <c r="D148" s="20" t="s">
        <v>4</v>
      </c>
      <c r="E148" s="19" t="s">
        <v>1149</v>
      </c>
      <c r="F148" s="14" t="s">
        <v>1148</v>
      </c>
      <c r="G148" s="18" t="s">
        <v>735</v>
      </c>
      <c r="H148" s="17">
        <v>0.22700000000000001</v>
      </c>
      <c r="I148" s="16"/>
      <c r="J148" s="15">
        <f t="shared" si="0"/>
        <v>0</v>
      </c>
      <c r="K148" s="14" t="s">
        <v>654</v>
      </c>
      <c r="L148" s="3"/>
      <c r="M148" s="24" t="s">
        <v>6</v>
      </c>
      <c r="N148" s="23" t="s">
        <v>5</v>
      </c>
      <c r="P148" s="22">
        <f t="shared" si="1"/>
        <v>0</v>
      </c>
      <c r="Q148" s="22">
        <v>0</v>
      </c>
      <c r="R148" s="22">
        <f t="shared" si="2"/>
        <v>0</v>
      </c>
      <c r="S148" s="22">
        <v>0</v>
      </c>
      <c r="T148" s="21">
        <f t="shared" si="3"/>
        <v>0</v>
      </c>
      <c r="AR148" s="6" t="s">
        <v>328</v>
      </c>
      <c r="AT148" s="6" t="s">
        <v>4</v>
      </c>
      <c r="AU148" s="6" t="s">
        <v>365</v>
      </c>
      <c r="AY148" s="7" t="s">
        <v>3</v>
      </c>
      <c r="BE148" s="8">
        <f t="shared" si="4"/>
        <v>0</v>
      </c>
      <c r="BF148" s="8">
        <f t="shared" si="5"/>
        <v>0</v>
      </c>
      <c r="BG148" s="8">
        <f t="shared" si="6"/>
        <v>0</v>
      </c>
      <c r="BH148" s="8">
        <f t="shared" si="7"/>
        <v>0</v>
      </c>
      <c r="BI148" s="8">
        <f t="shared" si="8"/>
        <v>0</v>
      </c>
      <c r="BJ148" s="7" t="s">
        <v>2</v>
      </c>
      <c r="BK148" s="8">
        <f t="shared" si="9"/>
        <v>0</v>
      </c>
      <c r="BL148" s="7" t="s">
        <v>328</v>
      </c>
      <c r="BM148" s="6" t="s">
        <v>1147</v>
      </c>
    </row>
    <row r="149" spans="2:65" s="2" customFormat="1">
      <c r="B149" s="3"/>
      <c r="D149" s="107" t="s">
        <v>651</v>
      </c>
      <c r="F149" s="106" t="s">
        <v>1146</v>
      </c>
      <c r="I149" s="94"/>
      <c r="L149" s="3"/>
      <c r="M149" s="100"/>
      <c r="T149" s="99"/>
      <c r="AT149" s="7" t="s">
        <v>651</v>
      </c>
      <c r="AU149" s="7" t="s">
        <v>365</v>
      </c>
    </row>
    <row r="150" spans="2:65" s="2" customFormat="1" ht="78">
      <c r="B150" s="3"/>
      <c r="D150" s="96" t="s">
        <v>731</v>
      </c>
      <c r="F150" s="95" t="s">
        <v>978</v>
      </c>
      <c r="I150" s="94"/>
      <c r="L150" s="3"/>
      <c r="M150" s="100"/>
      <c r="T150" s="99"/>
      <c r="AT150" s="7" t="s">
        <v>731</v>
      </c>
      <c r="AU150" s="7" t="s">
        <v>365</v>
      </c>
    </row>
    <row r="151" spans="2:65" s="2" customFormat="1" ht="24.2" customHeight="1">
      <c r="B151" s="3"/>
      <c r="C151" s="20" t="s">
        <v>288</v>
      </c>
      <c r="D151" s="20" t="s">
        <v>4</v>
      </c>
      <c r="E151" s="19" t="s">
        <v>1145</v>
      </c>
      <c r="F151" s="14" t="s">
        <v>1144</v>
      </c>
      <c r="G151" s="18" t="s">
        <v>735</v>
      </c>
      <c r="H151" s="17">
        <v>0.22700000000000001</v>
      </c>
      <c r="I151" s="16"/>
      <c r="J151" s="15">
        <f>ROUND(I151*H151,2)</f>
        <v>0</v>
      </c>
      <c r="K151" s="14" t="s">
        <v>654</v>
      </c>
      <c r="L151" s="3"/>
      <c r="M151" s="24" t="s">
        <v>6</v>
      </c>
      <c r="N151" s="23" t="s">
        <v>5</v>
      </c>
      <c r="P151" s="22">
        <f>O151*H151</f>
        <v>0</v>
      </c>
      <c r="Q151" s="22">
        <v>0</v>
      </c>
      <c r="R151" s="22">
        <f>Q151*H151</f>
        <v>0</v>
      </c>
      <c r="S151" s="22">
        <v>0</v>
      </c>
      <c r="T151" s="21">
        <f>S151*H151</f>
        <v>0</v>
      </c>
      <c r="AR151" s="6" t="s">
        <v>328</v>
      </c>
      <c r="AT151" s="6" t="s">
        <v>4</v>
      </c>
      <c r="AU151" s="6" t="s">
        <v>365</v>
      </c>
      <c r="AY151" s="7" t="s">
        <v>3</v>
      </c>
      <c r="BE151" s="8">
        <f>IF(N151="základní",J151,0)</f>
        <v>0</v>
      </c>
      <c r="BF151" s="8">
        <f>IF(N151="snížená",J151,0)</f>
        <v>0</v>
      </c>
      <c r="BG151" s="8">
        <f>IF(N151="zákl. přenesená",J151,0)</f>
        <v>0</v>
      </c>
      <c r="BH151" s="8">
        <f>IF(N151="sníž. přenesená",J151,0)</f>
        <v>0</v>
      </c>
      <c r="BI151" s="8">
        <f>IF(N151="nulová",J151,0)</f>
        <v>0</v>
      </c>
      <c r="BJ151" s="7" t="s">
        <v>2</v>
      </c>
      <c r="BK151" s="8">
        <f>ROUND(I151*H151,2)</f>
        <v>0</v>
      </c>
      <c r="BL151" s="7" t="s">
        <v>328</v>
      </c>
      <c r="BM151" s="6" t="s">
        <v>1143</v>
      </c>
    </row>
    <row r="152" spans="2:65" s="2" customFormat="1">
      <c r="B152" s="3"/>
      <c r="D152" s="107" t="s">
        <v>651</v>
      </c>
      <c r="F152" s="106" t="s">
        <v>1142</v>
      </c>
      <c r="I152" s="94"/>
      <c r="L152" s="3"/>
      <c r="M152" s="100"/>
      <c r="T152" s="99"/>
      <c r="AT152" s="7" t="s">
        <v>651</v>
      </c>
      <c r="AU152" s="7" t="s">
        <v>365</v>
      </c>
    </row>
    <row r="153" spans="2:65" s="2" customFormat="1" ht="78">
      <c r="B153" s="3"/>
      <c r="D153" s="96" t="s">
        <v>731</v>
      </c>
      <c r="F153" s="95" t="s">
        <v>978</v>
      </c>
      <c r="I153" s="94"/>
      <c r="L153" s="3"/>
      <c r="M153" s="100"/>
      <c r="T153" s="99"/>
      <c r="AT153" s="7" t="s">
        <v>731</v>
      </c>
      <c r="AU153" s="7" t="s">
        <v>365</v>
      </c>
    </row>
    <row r="154" spans="2:65" s="2" customFormat="1" ht="24.2" customHeight="1">
      <c r="B154" s="3"/>
      <c r="C154" s="20" t="s">
        <v>286</v>
      </c>
      <c r="D154" s="20" t="s">
        <v>4</v>
      </c>
      <c r="E154" s="19" t="s">
        <v>1141</v>
      </c>
      <c r="F154" s="14" t="s">
        <v>1140</v>
      </c>
      <c r="G154" s="18" t="s">
        <v>691</v>
      </c>
      <c r="H154" s="17">
        <v>4</v>
      </c>
      <c r="I154" s="16"/>
      <c r="J154" s="15">
        <f>ROUND(I154*H154,2)</f>
        <v>0</v>
      </c>
      <c r="K154" s="14" t="s">
        <v>654</v>
      </c>
      <c r="L154" s="3"/>
      <c r="M154" s="24" t="s">
        <v>6</v>
      </c>
      <c r="N154" s="23" t="s">
        <v>5</v>
      </c>
      <c r="P154" s="22">
        <f>O154*H154</f>
        <v>0</v>
      </c>
      <c r="Q154" s="22">
        <v>0</v>
      </c>
      <c r="R154" s="22">
        <f>Q154*H154</f>
        <v>0</v>
      </c>
      <c r="S154" s="22">
        <v>1.9800000000000002E-2</v>
      </c>
      <c r="T154" s="21">
        <f>S154*H154</f>
        <v>7.9200000000000007E-2</v>
      </c>
      <c r="AR154" s="6" t="s">
        <v>328</v>
      </c>
      <c r="AT154" s="6" t="s">
        <v>4</v>
      </c>
      <c r="AU154" s="6" t="s">
        <v>365</v>
      </c>
      <c r="AY154" s="7" t="s">
        <v>3</v>
      </c>
      <c r="BE154" s="8">
        <f>IF(N154="základní",J154,0)</f>
        <v>0</v>
      </c>
      <c r="BF154" s="8">
        <f>IF(N154="snížená",J154,0)</f>
        <v>0</v>
      </c>
      <c r="BG154" s="8">
        <f>IF(N154="zákl. přenesená",J154,0)</f>
        <v>0</v>
      </c>
      <c r="BH154" s="8">
        <f>IF(N154="sníž. přenesená",J154,0)</f>
        <v>0</v>
      </c>
      <c r="BI154" s="8">
        <f>IF(N154="nulová",J154,0)</f>
        <v>0</v>
      </c>
      <c r="BJ154" s="7" t="s">
        <v>2</v>
      </c>
      <c r="BK154" s="8">
        <f>ROUND(I154*H154,2)</f>
        <v>0</v>
      </c>
      <c r="BL154" s="7" t="s">
        <v>328</v>
      </c>
      <c r="BM154" s="6" t="s">
        <v>1139</v>
      </c>
    </row>
    <row r="155" spans="2:65" s="2" customFormat="1">
      <c r="B155" s="3"/>
      <c r="D155" s="107" t="s">
        <v>651</v>
      </c>
      <c r="F155" s="106" t="s">
        <v>1138</v>
      </c>
      <c r="I155" s="94"/>
      <c r="L155" s="3"/>
      <c r="M155" s="100"/>
      <c r="T155" s="99"/>
      <c r="AT155" s="7" t="s">
        <v>651</v>
      </c>
      <c r="AU155" s="7" t="s">
        <v>365</v>
      </c>
    </row>
    <row r="156" spans="2:65" s="108" customFormat="1">
      <c r="B156" s="112"/>
      <c r="D156" s="96" t="s">
        <v>704</v>
      </c>
      <c r="E156" s="109" t="s">
        <v>6</v>
      </c>
      <c r="F156" s="115" t="s">
        <v>1137</v>
      </c>
      <c r="H156" s="114">
        <v>4</v>
      </c>
      <c r="I156" s="113"/>
      <c r="L156" s="112"/>
      <c r="M156" s="111"/>
      <c r="T156" s="110"/>
      <c r="AT156" s="109" t="s">
        <v>704</v>
      </c>
      <c r="AU156" s="109" t="s">
        <v>365</v>
      </c>
      <c r="AV156" s="108" t="s">
        <v>365</v>
      </c>
      <c r="AW156" s="108" t="s">
        <v>703</v>
      </c>
      <c r="AX156" s="108" t="s">
        <v>2</v>
      </c>
      <c r="AY156" s="109" t="s">
        <v>3</v>
      </c>
    </row>
    <row r="157" spans="2:65" s="2" customFormat="1" ht="24.2" customHeight="1">
      <c r="B157" s="3"/>
      <c r="C157" s="20" t="s">
        <v>283</v>
      </c>
      <c r="D157" s="20" t="s">
        <v>4</v>
      </c>
      <c r="E157" s="19" t="s">
        <v>1134</v>
      </c>
      <c r="F157" s="14" t="s">
        <v>1133</v>
      </c>
      <c r="G157" s="18" t="s">
        <v>21</v>
      </c>
      <c r="H157" s="17">
        <v>20</v>
      </c>
      <c r="I157" s="16"/>
      <c r="J157" s="15">
        <f>ROUND(I157*H157,2)</f>
        <v>0</v>
      </c>
      <c r="K157" s="14" t="s">
        <v>654</v>
      </c>
      <c r="L157" s="3"/>
      <c r="M157" s="24" t="s">
        <v>6</v>
      </c>
      <c r="N157" s="23" t="s">
        <v>5</v>
      </c>
      <c r="P157" s="22">
        <f>O157*H157</f>
        <v>0</v>
      </c>
      <c r="Q157" s="22">
        <v>0</v>
      </c>
      <c r="R157" s="22">
        <f>Q157*H157</f>
        <v>0</v>
      </c>
      <c r="S157" s="22">
        <v>4.1900000000000001E-3</v>
      </c>
      <c r="T157" s="21">
        <f>S157*H157</f>
        <v>8.3799999999999999E-2</v>
      </c>
      <c r="AR157" s="6" t="s">
        <v>328</v>
      </c>
      <c r="AT157" s="6" t="s">
        <v>4</v>
      </c>
      <c r="AU157" s="6" t="s">
        <v>365</v>
      </c>
      <c r="AY157" s="7" t="s">
        <v>3</v>
      </c>
      <c r="BE157" s="8">
        <f>IF(N157="základní",J157,0)</f>
        <v>0</v>
      </c>
      <c r="BF157" s="8">
        <f>IF(N157="snížená",J157,0)</f>
        <v>0</v>
      </c>
      <c r="BG157" s="8">
        <f>IF(N157="zákl. přenesená",J157,0)</f>
        <v>0</v>
      </c>
      <c r="BH157" s="8">
        <f>IF(N157="sníž. přenesená",J157,0)</f>
        <v>0</v>
      </c>
      <c r="BI157" s="8">
        <f>IF(N157="nulová",J157,0)</f>
        <v>0</v>
      </c>
      <c r="BJ157" s="7" t="s">
        <v>2</v>
      </c>
      <c r="BK157" s="8">
        <f>ROUND(I157*H157,2)</f>
        <v>0</v>
      </c>
      <c r="BL157" s="7" t="s">
        <v>328</v>
      </c>
      <c r="BM157" s="6" t="s">
        <v>1136</v>
      </c>
    </row>
    <row r="158" spans="2:65" s="2" customFormat="1">
      <c r="B158" s="3"/>
      <c r="D158" s="107" t="s">
        <v>651</v>
      </c>
      <c r="F158" s="106" t="s">
        <v>1131</v>
      </c>
      <c r="I158" s="94"/>
      <c r="L158" s="3"/>
      <c r="M158" s="100"/>
      <c r="T158" s="99"/>
      <c r="AT158" s="7" t="s">
        <v>651</v>
      </c>
      <c r="AU158" s="7" t="s">
        <v>365</v>
      </c>
    </row>
    <row r="159" spans="2:65" s="108" customFormat="1">
      <c r="B159" s="112"/>
      <c r="D159" s="96" t="s">
        <v>704</v>
      </c>
      <c r="E159" s="109" t="s">
        <v>6</v>
      </c>
      <c r="F159" s="115" t="s">
        <v>1135</v>
      </c>
      <c r="H159" s="114">
        <v>20</v>
      </c>
      <c r="I159" s="113"/>
      <c r="L159" s="112"/>
      <c r="M159" s="111"/>
      <c r="T159" s="110"/>
      <c r="AT159" s="109" t="s">
        <v>704</v>
      </c>
      <c r="AU159" s="109" t="s">
        <v>365</v>
      </c>
      <c r="AV159" s="108" t="s">
        <v>365</v>
      </c>
      <c r="AW159" s="108" t="s">
        <v>703</v>
      </c>
      <c r="AX159" s="108" t="s">
        <v>2</v>
      </c>
      <c r="AY159" s="109" t="s">
        <v>3</v>
      </c>
    </row>
    <row r="160" spans="2:65" s="2" customFormat="1" ht="24.2" customHeight="1">
      <c r="B160" s="3"/>
      <c r="C160" s="20" t="s">
        <v>281</v>
      </c>
      <c r="D160" s="20" t="s">
        <v>4</v>
      </c>
      <c r="E160" s="19" t="s">
        <v>1134</v>
      </c>
      <c r="F160" s="14" t="s">
        <v>1133</v>
      </c>
      <c r="G160" s="18" t="s">
        <v>21</v>
      </c>
      <c r="H160" s="17">
        <v>36</v>
      </c>
      <c r="I160" s="16"/>
      <c r="J160" s="15">
        <f>ROUND(I160*H160,2)</f>
        <v>0</v>
      </c>
      <c r="K160" s="14" t="s">
        <v>654</v>
      </c>
      <c r="L160" s="3"/>
      <c r="M160" s="24" t="s">
        <v>6</v>
      </c>
      <c r="N160" s="23" t="s">
        <v>5</v>
      </c>
      <c r="P160" s="22">
        <f>O160*H160</f>
        <v>0</v>
      </c>
      <c r="Q160" s="22">
        <v>0</v>
      </c>
      <c r="R160" s="22">
        <f>Q160*H160</f>
        <v>0</v>
      </c>
      <c r="S160" s="22">
        <v>4.1900000000000001E-3</v>
      </c>
      <c r="T160" s="21">
        <f>S160*H160</f>
        <v>0.15084</v>
      </c>
      <c r="AR160" s="6" t="s">
        <v>328</v>
      </c>
      <c r="AT160" s="6" t="s">
        <v>4</v>
      </c>
      <c r="AU160" s="6" t="s">
        <v>365</v>
      </c>
      <c r="AY160" s="7" t="s">
        <v>3</v>
      </c>
      <c r="BE160" s="8">
        <f>IF(N160="základní",J160,0)</f>
        <v>0</v>
      </c>
      <c r="BF160" s="8">
        <f>IF(N160="snížená",J160,0)</f>
        <v>0</v>
      </c>
      <c r="BG160" s="8">
        <f>IF(N160="zákl. přenesená",J160,0)</f>
        <v>0</v>
      </c>
      <c r="BH160" s="8">
        <f>IF(N160="sníž. přenesená",J160,0)</f>
        <v>0</v>
      </c>
      <c r="BI160" s="8">
        <f>IF(N160="nulová",J160,0)</f>
        <v>0</v>
      </c>
      <c r="BJ160" s="7" t="s">
        <v>2</v>
      </c>
      <c r="BK160" s="8">
        <f>ROUND(I160*H160,2)</f>
        <v>0</v>
      </c>
      <c r="BL160" s="7" t="s">
        <v>328</v>
      </c>
      <c r="BM160" s="6" t="s">
        <v>1132</v>
      </c>
    </row>
    <row r="161" spans="2:65" s="2" customFormat="1">
      <c r="B161" s="3"/>
      <c r="D161" s="107" t="s">
        <v>651</v>
      </c>
      <c r="F161" s="106" t="s">
        <v>1131</v>
      </c>
      <c r="I161" s="94"/>
      <c r="L161" s="3"/>
      <c r="M161" s="100"/>
      <c r="T161" s="99"/>
      <c r="AT161" s="7" t="s">
        <v>651</v>
      </c>
      <c r="AU161" s="7" t="s">
        <v>365</v>
      </c>
    </row>
    <row r="162" spans="2:65" s="108" customFormat="1">
      <c r="B162" s="112"/>
      <c r="D162" s="96" t="s">
        <v>704</v>
      </c>
      <c r="E162" s="109" t="s">
        <v>6</v>
      </c>
      <c r="F162" s="115" t="s">
        <v>1130</v>
      </c>
      <c r="H162" s="114">
        <v>36</v>
      </c>
      <c r="I162" s="113"/>
      <c r="L162" s="112"/>
      <c r="M162" s="111"/>
      <c r="T162" s="110"/>
      <c r="AT162" s="109" t="s">
        <v>704</v>
      </c>
      <c r="AU162" s="109" t="s">
        <v>365</v>
      </c>
      <c r="AV162" s="108" t="s">
        <v>365</v>
      </c>
      <c r="AW162" s="108" t="s">
        <v>703</v>
      </c>
      <c r="AX162" s="108" t="s">
        <v>2</v>
      </c>
      <c r="AY162" s="109" t="s">
        <v>3</v>
      </c>
    </row>
    <row r="163" spans="2:65" s="25" customFormat="1" ht="22.9" customHeight="1">
      <c r="B163" s="32"/>
      <c r="D163" s="27" t="s">
        <v>26</v>
      </c>
      <c r="E163" s="98" t="s">
        <v>1129</v>
      </c>
      <c r="F163" s="98" t="s">
        <v>1128</v>
      </c>
      <c r="I163" s="34"/>
      <c r="J163" s="97">
        <f>BK163</f>
        <v>0</v>
      </c>
      <c r="L163" s="32"/>
      <c r="M163" s="31"/>
      <c r="P163" s="30">
        <f>SUM(P164:P189)</f>
        <v>0</v>
      </c>
      <c r="R163" s="30">
        <f>SUM(R164:R189)</f>
        <v>4.5580000000000002E-2</v>
      </c>
      <c r="T163" s="29">
        <f>SUM(T164:T189)</f>
        <v>6.7500000000000004E-2</v>
      </c>
      <c r="AR163" s="27" t="s">
        <v>365</v>
      </c>
      <c r="AT163" s="28" t="s">
        <v>26</v>
      </c>
      <c r="AU163" s="28" t="s">
        <v>2</v>
      </c>
      <c r="AY163" s="27" t="s">
        <v>3</v>
      </c>
      <c r="BK163" s="26">
        <f>SUM(BK164:BK189)</f>
        <v>0</v>
      </c>
    </row>
    <row r="164" spans="2:65" s="2" customFormat="1" ht="16.5" customHeight="1">
      <c r="B164" s="3"/>
      <c r="C164" s="20" t="s">
        <v>279</v>
      </c>
      <c r="D164" s="20" t="s">
        <v>4</v>
      </c>
      <c r="E164" s="19" t="s">
        <v>1127</v>
      </c>
      <c r="F164" s="14" t="s">
        <v>1126</v>
      </c>
      <c r="G164" s="18" t="s">
        <v>714</v>
      </c>
      <c r="H164" s="17">
        <v>1</v>
      </c>
      <c r="I164" s="16"/>
      <c r="J164" s="15">
        <f>ROUND(I164*H164,2)</f>
        <v>0</v>
      </c>
      <c r="K164" s="14" t="s">
        <v>654</v>
      </c>
      <c r="L164" s="3"/>
      <c r="M164" s="24" t="s">
        <v>6</v>
      </c>
      <c r="N164" s="23" t="s">
        <v>5</v>
      </c>
      <c r="P164" s="22">
        <f>O164*H164</f>
        <v>0</v>
      </c>
      <c r="Q164" s="22">
        <v>1.1199999999999999E-3</v>
      </c>
      <c r="R164" s="22">
        <f>Q164*H164</f>
        <v>1.1199999999999999E-3</v>
      </c>
      <c r="S164" s="22">
        <v>0</v>
      </c>
      <c r="T164" s="21">
        <f>S164*H164</f>
        <v>0</v>
      </c>
      <c r="AR164" s="6" t="s">
        <v>328</v>
      </c>
      <c r="AT164" s="6" t="s">
        <v>4</v>
      </c>
      <c r="AU164" s="6" t="s">
        <v>365</v>
      </c>
      <c r="AY164" s="7" t="s">
        <v>3</v>
      </c>
      <c r="BE164" s="8">
        <f>IF(N164="základní",J164,0)</f>
        <v>0</v>
      </c>
      <c r="BF164" s="8">
        <f>IF(N164="snížená",J164,0)</f>
        <v>0</v>
      </c>
      <c r="BG164" s="8">
        <f>IF(N164="zákl. přenesená",J164,0)</f>
        <v>0</v>
      </c>
      <c r="BH164" s="8">
        <f>IF(N164="sníž. přenesená",J164,0)</f>
        <v>0</v>
      </c>
      <c r="BI164" s="8">
        <f>IF(N164="nulová",J164,0)</f>
        <v>0</v>
      </c>
      <c r="BJ164" s="7" t="s">
        <v>2</v>
      </c>
      <c r="BK164" s="8">
        <f>ROUND(I164*H164,2)</f>
        <v>0</v>
      </c>
      <c r="BL164" s="7" t="s">
        <v>328</v>
      </c>
      <c r="BM164" s="6" t="s">
        <v>1125</v>
      </c>
    </row>
    <row r="165" spans="2:65" s="2" customFormat="1">
      <c r="B165" s="3"/>
      <c r="D165" s="107" t="s">
        <v>651</v>
      </c>
      <c r="F165" s="106" t="s">
        <v>1124</v>
      </c>
      <c r="I165" s="94"/>
      <c r="L165" s="3"/>
      <c r="M165" s="100"/>
      <c r="T165" s="99"/>
      <c r="AT165" s="7" t="s">
        <v>651</v>
      </c>
      <c r="AU165" s="7" t="s">
        <v>365</v>
      </c>
    </row>
    <row r="166" spans="2:65" s="2" customFormat="1" ht="16.5" customHeight="1">
      <c r="B166" s="3"/>
      <c r="C166" s="125" t="s">
        <v>277</v>
      </c>
      <c r="D166" s="125" t="s">
        <v>750</v>
      </c>
      <c r="E166" s="124" t="s">
        <v>1123</v>
      </c>
      <c r="F166" s="119" t="s">
        <v>1122</v>
      </c>
      <c r="G166" s="123" t="s">
        <v>714</v>
      </c>
      <c r="H166" s="122">
        <v>1</v>
      </c>
      <c r="I166" s="121"/>
      <c r="J166" s="120">
        <f t="shared" ref="J166:J172" si="10">ROUND(I166*H166,2)</f>
        <v>0</v>
      </c>
      <c r="K166" s="119" t="s">
        <v>7</v>
      </c>
      <c r="L166" s="118"/>
      <c r="M166" s="117" t="s">
        <v>6</v>
      </c>
      <c r="N166" s="116" t="s">
        <v>5</v>
      </c>
      <c r="P166" s="22">
        <f t="shared" ref="P166:P172" si="11">O166*H166</f>
        <v>0</v>
      </c>
      <c r="Q166" s="22">
        <v>1E-4</v>
      </c>
      <c r="R166" s="22">
        <f t="shared" ref="R166:R172" si="12">Q166*H166</f>
        <v>1E-4</v>
      </c>
      <c r="S166" s="22">
        <v>0</v>
      </c>
      <c r="T166" s="21">
        <f t="shared" ref="T166:T172" si="13">S166*H166</f>
        <v>0</v>
      </c>
      <c r="AR166" s="6" t="s">
        <v>283</v>
      </c>
      <c r="AT166" s="6" t="s">
        <v>750</v>
      </c>
      <c r="AU166" s="6" t="s">
        <v>365</v>
      </c>
      <c r="AY166" s="7" t="s">
        <v>3</v>
      </c>
      <c r="BE166" s="8">
        <f t="shared" ref="BE166:BE172" si="14">IF(N166="základní",J166,0)</f>
        <v>0</v>
      </c>
      <c r="BF166" s="8">
        <f t="shared" ref="BF166:BF172" si="15">IF(N166="snížená",J166,0)</f>
        <v>0</v>
      </c>
      <c r="BG166" s="8">
        <f t="shared" ref="BG166:BG172" si="16">IF(N166="zákl. přenesená",J166,0)</f>
        <v>0</v>
      </c>
      <c r="BH166" s="8">
        <f t="shared" ref="BH166:BH172" si="17">IF(N166="sníž. přenesená",J166,0)</f>
        <v>0</v>
      </c>
      <c r="BI166" s="8">
        <f t="shared" ref="BI166:BI172" si="18">IF(N166="nulová",J166,0)</f>
        <v>0</v>
      </c>
      <c r="BJ166" s="7" t="s">
        <v>2</v>
      </c>
      <c r="BK166" s="8">
        <f t="shared" ref="BK166:BK172" si="19">ROUND(I166*H166,2)</f>
        <v>0</v>
      </c>
      <c r="BL166" s="7" t="s">
        <v>328</v>
      </c>
      <c r="BM166" s="6" t="s">
        <v>1121</v>
      </c>
    </row>
    <row r="167" spans="2:65" s="2" customFormat="1" ht="16.5" customHeight="1">
      <c r="B167" s="3"/>
      <c r="C167" s="20" t="s">
        <v>275</v>
      </c>
      <c r="D167" s="20" t="s">
        <v>4</v>
      </c>
      <c r="E167" s="19" t="s">
        <v>1120</v>
      </c>
      <c r="F167" s="14" t="s">
        <v>1119</v>
      </c>
      <c r="G167" s="18" t="s">
        <v>714</v>
      </c>
      <c r="H167" s="17">
        <v>2</v>
      </c>
      <c r="I167" s="16"/>
      <c r="J167" s="15">
        <f t="shared" si="10"/>
        <v>0</v>
      </c>
      <c r="K167" s="14" t="s">
        <v>7</v>
      </c>
      <c r="L167" s="3"/>
      <c r="M167" s="24" t="s">
        <v>6</v>
      </c>
      <c r="N167" s="23" t="s">
        <v>5</v>
      </c>
      <c r="P167" s="22">
        <f t="shared" si="11"/>
        <v>0</v>
      </c>
      <c r="Q167" s="22">
        <v>6.8000000000000005E-4</v>
      </c>
      <c r="R167" s="22">
        <f t="shared" si="12"/>
        <v>1.3600000000000001E-3</v>
      </c>
      <c r="S167" s="22">
        <v>0</v>
      </c>
      <c r="T167" s="21">
        <f t="shared" si="13"/>
        <v>0</v>
      </c>
      <c r="AR167" s="6" t="s">
        <v>328</v>
      </c>
      <c r="AT167" s="6" t="s">
        <v>4</v>
      </c>
      <c r="AU167" s="6" t="s">
        <v>365</v>
      </c>
      <c r="AY167" s="7" t="s">
        <v>3</v>
      </c>
      <c r="BE167" s="8">
        <f t="shared" si="14"/>
        <v>0</v>
      </c>
      <c r="BF167" s="8">
        <f t="shared" si="15"/>
        <v>0</v>
      </c>
      <c r="BG167" s="8">
        <f t="shared" si="16"/>
        <v>0</v>
      </c>
      <c r="BH167" s="8">
        <f t="shared" si="17"/>
        <v>0</v>
      </c>
      <c r="BI167" s="8">
        <f t="shared" si="18"/>
        <v>0</v>
      </c>
      <c r="BJ167" s="7" t="s">
        <v>2</v>
      </c>
      <c r="BK167" s="8">
        <f t="shared" si="19"/>
        <v>0</v>
      </c>
      <c r="BL167" s="7" t="s">
        <v>328</v>
      </c>
      <c r="BM167" s="6" t="s">
        <v>1118</v>
      </c>
    </row>
    <row r="168" spans="2:65" s="2" customFormat="1" ht="44.25" customHeight="1">
      <c r="B168" s="3"/>
      <c r="C168" s="125" t="s">
        <v>273</v>
      </c>
      <c r="D168" s="125" t="s">
        <v>750</v>
      </c>
      <c r="E168" s="124" t="s">
        <v>1117</v>
      </c>
      <c r="F168" s="119" t="s">
        <v>1116</v>
      </c>
      <c r="G168" s="123" t="s">
        <v>714</v>
      </c>
      <c r="H168" s="122">
        <v>1</v>
      </c>
      <c r="I168" s="121"/>
      <c r="J168" s="120">
        <f t="shared" si="10"/>
        <v>0</v>
      </c>
      <c r="K168" s="119" t="s">
        <v>7</v>
      </c>
      <c r="L168" s="118"/>
      <c r="M168" s="117" t="s">
        <v>6</v>
      </c>
      <c r="N168" s="116" t="s">
        <v>5</v>
      </c>
      <c r="P168" s="22">
        <f t="shared" si="11"/>
        <v>0</v>
      </c>
      <c r="Q168" s="22">
        <v>8.0000000000000002E-3</v>
      </c>
      <c r="R168" s="22">
        <f t="shared" si="12"/>
        <v>8.0000000000000002E-3</v>
      </c>
      <c r="S168" s="22">
        <v>0</v>
      </c>
      <c r="T168" s="21">
        <f t="shared" si="13"/>
        <v>0</v>
      </c>
      <c r="AR168" s="6" t="s">
        <v>283</v>
      </c>
      <c r="AT168" s="6" t="s">
        <v>750</v>
      </c>
      <c r="AU168" s="6" t="s">
        <v>365</v>
      </c>
      <c r="AY168" s="7" t="s">
        <v>3</v>
      </c>
      <c r="BE168" s="8">
        <f t="shared" si="14"/>
        <v>0</v>
      </c>
      <c r="BF168" s="8">
        <f t="shared" si="15"/>
        <v>0</v>
      </c>
      <c r="BG168" s="8">
        <f t="shared" si="16"/>
        <v>0</v>
      </c>
      <c r="BH168" s="8">
        <f t="shared" si="17"/>
        <v>0</v>
      </c>
      <c r="BI168" s="8">
        <f t="shared" si="18"/>
        <v>0</v>
      </c>
      <c r="BJ168" s="7" t="s">
        <v>2</v>
      </c>
      <c r="BK168" s="8">
        <f t="shared" si="19"/>
        <v>0</v>
      </c>
      <c r="BL168" s="7" t="s">
        <v>328</v>
      </c>
      <c r="BM168" s="6" t="s">
        <v>1115</v>
      </c>
    </row>
    <row r="169" spans="2:65" s="2" customFormat="1" ht="44.25" customHeight="1">
      <c r="B169" s="3"/>
      <c r="C169" s="125" t="s">
        <v>270</v>
      </c>
      <c r="D169" s="125" t="s">
        <v>750</v>
      </c>
      <c r="E169" s="124" t="s">
        <v>1114</v>
      </c>
      <c r="F169" s="119" t="s">
        <v>1113</v>
      </c>
      <c r="G169" s="123" t="s">
        <v>714</v>
      </c>
      <c r="H169" s="122">
        <v>1</v>
      </c>
      <c r="I169" s="121"/>
      <c r="J169" s="120">
        <f t="shared" si="10"/>
        <v>0</v>
      </c>
      <c r="K169" s="119" t="s">
        <v>7</v>
      </c>
      <c r="L169" s="118"/>
      <c r="M169" s="117" t="s">
        <v>6</v>
      </c>
      <c r="N169" s="116" t="s">
        <v>5</v>
      </c>
      <c r="P169" s="22">
        <f t="shared" si="11"/>
        <v>0</v>
      </c>
      <c r="Q169" s="22">
        <v>8.0000000000000002E-3</v>
      </c>
      <c r="R169" s="22">
        <f t="shared" si="12"/>
        <v>8.0000000000000002E-3</v>
      </c>
      <c r="S169" s="22">
        <v>0</v>
      </c>
      <c r="T169" s="21">
        <f t="shared" si="13"/>
        <v>0</v>
      </c>
      <c r="AR169" s="6" t="s">
        <v>283</v>
      </c>
      <c r="AT169" s="6" t="s">
        <v>750</v>
      </c>
      <c r="AU169" s="6" t="s">
        <v>365</v>
      </c>
      <c r="AY169" s="7" t="s">
        <v>3</v>
      </c>
      <c r="BE169" s="8">
        <f t="shared" si="14"/>
        <v>0</v>
      </c>
      <c r="BF169" s="8">
        <f t="shared" si="15"/>
        <v>0</v>
      </c>
      <c r="BG169" s="8">
        <f t="shared" si="16"/>
        <v>0</v>
      </c>
      <c r="BH169" s="8">
        <f t="shared" si="17"/>
        <v>0</v>
      </c>
      <c r="BI169" s="8">
        <f t="shared" si="18"/>
        <v>0</v>
      </c>
      <c r="BJ169" s="7" t="s">
        <v>2</v>
      </c>
      <c r="BK169" s="8">
        <f t="shared" si="19"/>
        <v>0</v>
      </c>
      <c r="BL169" s="7" t="s">
        <v>328</v>
      </c>
      <c r="BM169" s="6" t="s">
        <v>1112</v>
      </c>
    </row>
    <row r="170" spans="2:65" s="2" customFormat="1" ht="16.5" customHeight="1">
      <c r="B170" s="3"/>
      <c r="C170" s="20" t="s">
        <v>266</v>
      </c>
      <c r="D170" s="20" t="s">
        <v>4</v>
      </c>
      <c r="E170" s="19" t="s">
        <v>1111</v>
      </c>
      <c r="F170" s="14" t="s">
        <v>1110</v>
      </c>
      <c r="G170" s="18" t="s">
        <v>722</v>
      </c>
      <c r="H170" s="17">
        <v>2</v>
      </c>
      <c r="I170" s="16"/>
      <c r="J170" s="15">
        <f t="shared" si="10"/>
        <v>0</v>
      </c>
      <c r="K170" s="14" t="s">
        <v>7</v>
      </c>
      <c r="L170" s="3"/>
      <c r="M170" s="24" t="s">
        <v>6</v>
      </c>
      <c r="N170" s="23" t="s">
        <v>5</v>
      </c>
      <c r="P170" s="22">
        <f t="shared" si="11"/>
        <v>0</v>
      </c>
      <c r="Q170" s="22">
        <v>0</v>
      </c>
      <c r="R170" s="22">
        <f t="shared" si="12"/>
        <v>0</v>
      </c>
      <c r="S170" s="22">
        <v>0</v>
      </c>
      <c r="T170" s="21">
        <f t="shared" si="13"/>
        <v>0</v>
      </c>
      <c r="AR170" s="6" t="s">
        <v>328</v>
      </c>
      <c r="AT170" s="6" t="s">
        <v>4</v>
      </c>
      <c r="AU170" s="6" t="s">
        <v>365</v>
      </c>
      <c r="AY170" s="7" t="s">
        <v>3</v>
      </c>
      <c r="BE170" s="8">
        <f t="shared" si="14"/>
        <v>0</v>
      </c>
      <c r="BF170" s="8">
        <f t="shared" si="15"/>
        <v>0</v>
      </c>
      <c r="BG170" s="8">
        <f t="shared" si="16"/>
        <v>0</v>
      </c>
      <c r="BH170" s="8">
        <f t="shared" si="17"/>
        <v>0</v>
      </c>
      <c r="BI170" s="8">
        <f t="shared" si="18"/>
        <v>0</v>
      </c>
      <c r="BJ170" s="7" t="s">
        <v>2</v>
      </c>
      <c r="BK170" s="8">
        <f t="shared" si="19"/>
        <v>0</v>
      </c>
      <c r="BL170" s="7" t="s">
        <v>328</v>
      </c>
      <c r="BM170" s="6" t="s">
        <v>1109</v>
      </c>
    </row>
    <row r="171" spans="2:65" s="2" customFormat="1" ht="16.5" customHeight="1">
      <c r="B171" s="3"/>
      <c r="C171" s="125" t="s">
        <v>263</v>
      </c>
      <c r="D171" s="125" t="s">
        <v>750</v>
      </c>
      <c r="E171" s="124" t="s">
        <v>1108</v>
      </c>
      <c r="F171" s="119" t="s">
        <v>1107</v>
      </c>
      <c r="G171" s="123" t="s">
        <v>722</v>
      </c>
      <c r="H171" s="122">
        <v>2</v>
      </c>
      <c r="I171" s="121"/>
      <c r="J171" s="120">
        <f t="shared" si="10"/>
        <v>0</v>
      </c>
      <c r="K171" s="119" t="s">
        <v>7</v>
      </c>
      <c r="L171" s="118"/>
      <c r="M171" s="117" t="s">
        <v>6</v>
      </c>
      <c r="N171" s="116" t="s">
        <v>5</v>
      </c>
      <c r="P171" s="22">
        <f t="shared" si="11"/>
        <v>0</v>
      </c>
      <c r="Q171" s="22">
        <v>1E-3</v>
      </c>
      <c r="R171" s="22">
        <f t="shared" si="12"/>
        <v>2E-3</v>
      </c>
      <c r="S171" s="22">
        <v>0</v>
      </c>
      <c r="T171" s="21">
        <f t="shared" si="13"/>
        <v>0</v>
      </c>
      <c r="AR171" s="6" t="s">
        <v>283</v>
      </c>
      <c r="AT171" s="6" t="s">
        <v>750</v>
      </c>
      <c r="AU171" s="6" t="s">
        <v>365</v>
      </c>
      <c r="AY171" s="7" t="s">
        <v>3</v>
      </c>
      <c r="BE171" s="8">
        <f t="shared" si="14"/>
        <v>0</v>
      </c>
      <c r="BF171" s="8">
        <f t="shared" si="15"/>
        <v>0</v>
      </c>
      <c r="BG171" s="8">
        <f t="shared" si="16"/>
        <v>0</v>
      </c>
      <c r="BH171" s="8">
        <f t="shared" si="17"/>
        <v>0</v>
      </c>
      <c r="BI171" s="8">
        <f t="shared" si="18"/>
        <v>0</v>
      </c>
      <c r="BJ171" s="7" t="s">
        <v>2</v>
      </c>
      <c r="BK171" s="8">
        <f t="shared" si="19"/>
        <v>0</v>
      </c>
      <c r="BL171" s="7" t="s">
        <v>328</v>
      </c>
      <c r="BM171" s="6" t="s">
        <v>1106</v>
      </c>
    </row>
    <row r="172" spans="2:65" s="2" customFormat="1" ht="16.5" customHeight="1">
      <c r="B172" s="3"/>
      <c r="C172" s="20" t="s">
        <v>260</v>
      </c>
      <c r="D172" s="20" t="s">
        <v>4</v>
      </c>
      <c r="E172" s="19" t="s">
        <v>1101</v>
      </c>
      <c r="F172" s="14" t="s">
        <v>1100</v>
      </c>
      <c r="G172" s="18" t="s">
        <v>714</v>
      </c>
      <c r="H172" s="17">
        <v>3</v>
      </c>
      <c r="I172" s="16"/>
      <c r="J172" s="15">
        <f t="shared" si="10"/>
        <v>0</v>
      </c>
      <c r="K172" s="14" t="s">
        <v>654</v>
      </c>
      <c r="L172" s="3"/>
      <c r="M172" s="24" t="s">
        <v>6</v>
      </c>
      <c r="N172" s="23" t="s">
        <v>5</v>
      </c>
      <c r="P172" s="22">
        <f t="shared" si="11"/>
        <v>0</v>
      </c>
      <c r="Q172" s="22">
        <v>6.8000000000000005E-4</v>
      </c>
      <c r="R172" s="22">
        <f t="shared" si="12"/>
        <v>2.0400000000000001E-3</v>
      </c>
      <c r="S172" s="22">
        <v>0</v>
      </c>
      <c r="T172" s="21">
        <f t="shared" si="13"/>
        <v>0</v>
      </c>
      <c r="AR172" s="6" t="s">
        <v>328</v>
      </c>
      <c r="AT172" s="6" t="s">
        <v>4</v>
      </c>
      <c r="AU172" s="6" t="s">
        <v>365</v>
      </c>
      <c r="AY172" s="7" t="s">
        <v>3</v>
      </c>
      <c r="BE172" s="8">
        <f t="shared" si="14"/>
        <v>0</v>
      </c>
      <c r="BF172" s="8">
        <f t="shared" si="15"/>
        <v>0</v>
      </c>
      <c r="BG172" s="8">
        <f t="shared" si="16"/>
        <v>0</v>
      </c>
      <c r="BH172" s="8">
        <f t="shared" si="17"/>
        <v>0</v>
      </c>
      <c r="BI172" s="8">
        <f t="shared" si="18"/>
        <v>0</v>
      </c>
      <c r="BJ172" s="7" t="s">
        <v>2</v>
      </c>
      <c r="BK172" s="8">
        <f t="shared" si="19"/>
        <v>0</v>
      </c>
      <c r="BL172" s="7" t="s">
        <v>328</v>
      </c>
      <c r="BM172" s="6" t="s">
        <v>1105</v>
      </c>
    </row>
    <row r="173" spans="2:65" s="2" customFormat="1">
      <c r="B173" s="3"/>
      <c r="D173" s="107" t="s">
        <v>651</v>
      </c>
      <c r="F173" s="106" t="s">
        <v>1098</v>
      </c>
      <c r="I173" s="94"/>
      <c r="L173" s="3"/>
      <c r="M173" s="100"/>
      <c r="T173" s="99"/>
      <c r="AT173" s="7" t="s">
        <v>651</v>
      </c>
      <c r="AU173" s="7" t="s">
        <v>365</v>
      </c>
    </row>
    <row r="174" spans="2:65" s="2" customFormat="1" ht="33" customHeight="1">
      <c r="B174" s="3"/>
      <c r="C174" s="125" t="s">
        <v>257</v>
      </c>
      <c r="D174" s="125" t="s">
        <v>750</v>
      </c>
      <c r="E174" s="124" t="s">
        <v>1104</v>
      </c>
      <c r="F174" s="119" t="s">
        <v>1103</v>
      </c>
      <c r="G174" s="123" t="s">
        <v>722</v>
      </c>
      <c r="H174" s="122">
        <v>4</v>
      </c>
      <c r="I174" s="121"/>
      <c r="J174" s="120">
        <f>ROUND(I174*H174,2)</f>
        <v>0</v>
      </c>
      <c r="K174" s="119" t="s">
        <v>7</v>
      </c>
      <c r="L174" s="118"/>
      <c r="M174" s="117" t="s">
        <v>6</v>
      </c>
      <c r="N174" s="116" t="s">
        <v>5</v>
      </c>
      <c r="P174" s="22">
        <f>O174*H174</f>
        <v>0</v>
      </c>
      <c r="Q174" s="22">
        <v>3.0000000000000001E-3</v>
      </c>
      <c r="R174" s="22">
        <f>Q174*H174</f>
        <v>1.2E-2</v>
      </c>
      <c r="S174" s="22">
        <v>0</v>
      </c>
      <c r="T174" s="21">
        <f>S174*H174</f>
        <v>0</v>
      </c>
      <c r="AR174" s="6" t="s">
        <v>283</v>
      </c>
      <c r="AT174" s="6" t="s">
        <v>750</v>
      </c>
      <c r="AU174" s="6" t="s">
        <v>365</v>
      </c>
      <c r="AY174" s="7" t="s">
        <v>3</v>
      </c>
      <c r="BE174" s="8">
        <f>IF(N174="základní",J174,0)</f>
        <v>0</v>
      </c>
      <c r="BF174" s="8">
        <f>IF(N174="snížená",J174,0)</f>
        <v>0</v>
      </c>
      <c r="BG174" s="8">
        <f>IF(N174="zákl. přenesená",J174,0)</f>
        <v>0</v>
      </c>
      <c r="BH174" s="8">
        <f>IF(N174="sníž. přenesená",J174,0)</f>
        <v>0</v>
      </c>
      <c r="BI174" s="8">
        <f>IF(N174="nulová",J174,0)</f>
        <v>0</v>
      </c>
      <c r="BJ174" s="7" t="s">
        <v>2</v>
      </c>
      <c r="BK174" s="8">
        <f>ROUND(I174*H174,2)</f>
        <v>0</v>
      </c>
      <c r="BL174" s="7" t="s">
        <v>328</v>
      </c>
      <c r="BM174" s="6" t="s">
        <v>1102</v>
      </c>
    </row>
    <row r="175" spans="2:65" s="2" customFormat="1" ht="16.5" customHeight="1">
      <c r="B175" s="3"/>
      <c r="C175" s="20" t="s">
        <v>254</v>
      </c>
      <c r="D175" s="20" t="s">
        <v>4</v>
      </c>
      <c r="E175" s="19" t="s">
        <v>1101</v>
      </c>
      <c r="F175" s="14" t="s">
        <v>1100</v>
      </c>
      <c r="G175" s="18" t="s">
        <v>714</v>
      </c>
      <c r="H175" s="17">
        <v>1</v>
      </c>
      <c r="I175" s="16"/>
      <c r="J175" s="15">
        <f>ROUND(I175*H175,2)</f>
        <v>0</v>
      </c>
      <c r="K175" s="14" t="s">
        <v>654</v>
      </c>
      <c r="L175" s="3"/>
      <c r="M175" s="24" t="s">
        <v>6</v>
      </c>
      <c r="N175" s="23" t="s">
        <v>5</v>
      </c>
      <c r="P175" s="22">
        <f>O175*H175</f>
        <v>0</v>
      </c>
      <c r="Q175" s="22">
        <v>6.8000000000000005E-4</v>
      </c>
      <c r="R175" s="22">
        <f>Q175*H175</f>
        <v>6.8000000000000005E-4</v>
      </c>
      <c r="S175" s="22">
        <v>0</v>
      </c>
      <c r="T175" s="21">
        <f>S175*H175</f>
        <v>0</v>
      </c>
      <c r="AR175" s="6" t="s">
        <v>328</v>
      </c>
      <c r="AT175" s="6" t="s">
        <v>4</v>
      </c>
      <c r="AU175" s="6" t="s">
        <v>365</v>
      </c>
      <c r="AY175" s="7" t="s">
        <v>3</v>
      </c>
      <c r="BE175" s="8">
        <f>IF(N175="základní",J175,0)</f>
        <v>0</v>
      </c>
      <c r="BF175" s="8">
        <f>IF(N175="snížená",J175,0)</f>
        <v>0</v>
      </c>
      <c r="BG175" s="8">
        <f>IF(N175="zákl. přenesená",J175,0)</f>
        <v>0</v>
      </c>
      <c r="BH175" s="8">
        <f>IF(N175="sníž. přenesená",J175,0)</f>
        <v>0</v>
      </c>
      <c r="BI175" s="8">
        <f>IF(N175="nulová",J175,0)</f>
        <v>0</v>
      </c>
      <c r="BJ175" s="7" t="s">
        <v>2</v>
      </c>
      <c r="BK175" s="8">
        <f>ROUND(I175*H175,2)</f>
        <v>0</v>
      </c>
      <c r="BL175" s="7" t="s">
        <v>328</v>
      </c>
      <c r="BM175" s="6" t="s">
        <v>1099</v>
      </c>
    </row>
    <row r="176" spans="2:65" s="2" customFormat="1">
      <c r="B176" s="3"/>
      <c r="D176" s="107" t="s">
        <v>651</v>
      </c>
      <c r="F176" s="106" t="s">
        <v>1098</v>
      </c>
      <c r="I176" s="94"/>
      <c r="L176" s="3"/>
      <c r="M176" s="100"/>
      <c r="T176" s="99"/>
      <c r="AT176" s="7" t="s">
        <v>651</v>
      </c>
      <c r="AU176" s="7" t="s">
        <v>365</v>
      </c>
    </row>
    <row r="177" spans="2:65" s="2" customFormat="1" ht="24.2" customHeight="1">
      <c r="B177" s="3"/>
      <c r="C177" s="125" t="s">
        <v>251</v>
      </c>
      <c r="D177" s="125" t="s">
        <v>750</v>
      </c>
      <c r="E177" s="124" t="s">
        <v>1097</v>
      </c>
      <c r="F177" s="119" t="s">
        <v>1096</v>
      </c>
      <c r="G177" s="123" t="s">
        <v>722</v>
      </c>
      <c r="H177" s="122">
        <v>2</v>
      </c>
      <c r="I177" s="121"/>
      <c r="J177" s="120">
        <f>ROUND(I177*H177,2)</f>
        <v>0</v>
      </c>
      <c r="K177" s="119" t="s">
        <v>7</v>
      </c>
      <c r="L177" s="118"/>
      <c r="M177" s="117" t="s">
        <v>6</v>
      </c>
      <c r="N177" s="116" t="s">
        <v>5</v>
      </c>
      <c r="P177" s="22">
        <f>O177*H177</f>
        <v>0</v>
      </c>
      <c r="Q177" s="22">
        <v>5.0000000000000001E-3</v>
      </c>
      <c r="R177" s="22">
        <f>Q177*H177</f>
        <v>0.01</v>
      </c>
      <c r="S177" s="22">
        <v>0</v>
      </c>
      <c r="T177" s="21">
        <f>S177*H177</f>
        <v>0</v>
      </c>
      <c r="AR177" s="6" t="s">
        <v>283</v>
      </c>
      <c r="AT177" s="6" t="s">
        <v>750</v>
      </c>
      <c r="AU177" s="6" t="s">
        <v>365</v>
      </c>
      <c r="AY177" s="7" t="s">
        <v>3</v>
      </c>
      <c r="BE177" s="8">
        <f>IF(N177="základní",J177,0)</f>
        <v>0</v>
      </c>
      <c r="BF177" s="8">
        <f>IF(N177="snížená",J177,0)</f>
        <v>0</v>
      </c>
      <c r="BG177" s="8">
        <f>IF(N177="zákl. přenesená",J177,0)</f>
        <v>0</v>
      </c>
      <c r="BH177" s="8">
        <f>IF(N177="sníž. přenesená",J177,0)</f>
        <v>0</v>
      </c>
      <c r="BI177" s="8">
        <f>IF(N177="nulová",J177,0)</f>
        <v>0</v>
      </c>
      <c r="BJ177" s="7" t="s">
        <v>2</v>
      </c>
      <c r="BK177" s="8">
        <f>ROUND(I177*H177,2)</f>
        <v>0</v>
      </c>
      <c r="BL177" s="7" t="s">
        <v>328</v>
      </c>
      <c r="BM177" s="6" t="s">
        <v>1095</v>
      </c>
    </row>
    <row r="178" spans="2:65" s="2" customFormat="1" ht="24.2" customHeight="1">
      <c r="B178" s="3"/>
      <c r="C178" s="20" t="s">
        <v>248</v>
      </c>
      <c r="D178" s="20" t="s">
        <v>4</v>
      </c>
      <c r="E178" s="19" t="s">
        <v>1094</v>
      </c>
      <c r="F178" s="14" t="s">
        <v>1093</v>
      </c>
      <c r="G178" s="18" t="s">
        <v>735</v>
      </c>
      <c r="H178" s="17">
        <v>4.5999999999999999E-2</v>
      </c>
      <c r="I178" s="16"/>
      <c r="J178" s="15">
        <f>ROUND(I178*H178,2)</f>
        <v>0</v>
      </c>
      <c r="K178" s="14" t="s">
        <v>654</v>
      </c>
      <c r="L178" s="3"/>
      <c r="M178" s="24" t="s">
        <v>6</v>
      </c>
      <c r="N178" s="23" t="s">
        <v>5</v>
      </c>
      <c r="P178" s="22">
        <f>O178*H178</f>
        <v>0</v>
      </c>
      <c r="Q178" s="22">
        <v>0</v>
      </c>
      <c r="R178" s="22">
        <f>Q178*H178</f>
        <v>0</v>
      </c>
      <c r="S178" s="22">
        <v>0</v>
      </c>
      <c r="T178" s="21">
        <f>S178*H178</f>
        <v>0</v>
      </c>
      <c r="AR178" s="6" t="s">
        <v>328</v>
      </c>
      <c r="AT178" s="6" t="s">
        <v>4</v>
      </c>
      <c r="AU178" s="6" t="s">
        <v>365</v>
      </c>
      <c r="AY178" s="7" t="s">
        <v>3</v>
      </c>
      <c r="BE178" s="8">
        <f>IF(N178="základní",J178,0)</f>
        <v>0</v>
      </c>
      <c r="BF178" s="8">
        <f>IF(N178="snížená",J178,0)</f>
        <v>0</v>
      </c>
      <c r="BG178" s="8">
        <f>IF(N178="zákl. přenesená",J178,0)</f>
        <v>0</v>
      </c>
      <c r="BH178" s="8">
        <f>IF(N178="sníž. přenesená",J178,0)</f>
        <v>0</v>
      </c>
      <c r="BI178" s="8">
        <f>IF(N178="nulová",J178,0)</f>
        <v>0</v>
      </c>
      <c r="BJ178" s="7" t="s">
        <v>2</v>
      </c>
      <c r="BK178" s="8">
        <f>ROUND(I178*H178,2)</f>
        <v>0</v>
      </c>
      <c r="BL178" s="7" t="s">
        <v>328</v>
      </c>
      <c r="BM178" s="6" t="s">
        <v>1092</v>
      </c>
    </row>
    <row r="179" spans="2:65" s="2" customFormat="1">
      <c r="B179" s="3"/>
      <c r="D179" s="107" t="s">
        <v>651</v>
      </c>
      <c r="F179" s="106" t="s">
        <v>1091</v>
      </c>
      <c r="I179" s="94"/>
      <c r="L179" s="3"/>
      <c r="M179" s="100"/>
      <c r="T179" s="99"/>
      <c r="AT179" s="7" t="s">
        <v>651</v>
      </c>
      <c r="AU179" s="7" t="s">
        <v>365</v>
      </c>
    </row>
    <row r="180" spans="2:65" s="2" customFormat="1" ht="78">
      <c r="B180" s="3"/>
      <c r="D180" s="96" t="s">
        <v>731</v>
      </c>
      <c r="F180" s="95" t="s">
        <v>1086</v>
      </c>
      <c r="I180" s="94"/>
      <c r="L180" s="3"/>
      <c r="M180" s="100"/>
      <c r="T180" s="99"/>
      <c r="AT180" s="7" t="s">
        <v>731</v>
      </c>
      <c r="AU180" s="7" t="s">
        <v>365</v>
      </c>
    </row>
    <row r="181" spans="2:65" s="2" customFormat="1" ht="24.2" customHeight="1">
      <c r="B181" s="3"/>
      <c r="C181" s="20" t="s">
        <v>245</v>
      </c>
      <c r="D181" s="20" t="s">
        <v>4</v>
      </c>
      <c r="E181" s="19" t="s">
        <v>1090</v>
      </c>
      <c r="F181" s="14" t="s">
        <v>1089</v>
      </c>
      <c r="G181" s="18" t="s">
        <v>735</v>
      </c>
      <c r="H181" s="17">
        <v>4.5999999999999999E-2</v>
      </c>
      <c r="I181" s="16"/>
      <c r="J181" s="15">
        <f>ROUND(I181*H181,2)</f>
        <v>0</v>
      </c>
      <c r="K181" s="14" t="s">
        <v>654</v>
      </c>
      <c r="L181" s="3"/>
      <c r="M181" s="24" t="s">
        <v>6</v>
      </c>
      <c r="N181" s="23" t="s">
        <v>5</v>
      </c>
      <c r="P181" s="22">
        <f>O181*H181</f>
        <v>0</v>
      </c>
      <c r="Q181" s="22">
        <v>0</v>
      </c>
      <c r="R181" s="22">
        <f>Q181*H181</f>
        <v>0</v>
      </c>
      <c r="S181" s="22">
        <v>0</v>
      </c>
      <c r="T181" s="21">
        <f>S181*H181</f>
        <v>0</v>
      </c>
      <c r="AR181" s="6" t="s">
        <v>328</v>
      </c>
      <c r="AT181" s="6" t="s">
        <v>4</v>
      </c>
      <c r="AU181" s="6" t="s">
        <v>365</v>
      </c>
      <c r="AY181" s="7" t="s">
        <v>3</v>
      </c>
      <c r="BE181" s="8">
        <f>IF(N181="základní",J181,0)</f>
        <v>0</v>
      </c>
      <c r="BF181" s="8">
        <f>IF(N181="snížená",J181,0)</f>
        <v>0</v>
      </c>
      <c r="BG181" s="8">
        <f>IF(N181="zákl. přenesená",J181,0)</f>
        <v>0</v>
      </c>
      <c r="BH181" s="8">
        <f>IF(N181="sníž. přenesená",J181,0)</f>
        <v>0</v>
      </c>
      <c r="BI181" s="8">
        <f>IF(N181="nulová",J181,0)</f>
        <v>0</v>
      </c>
      <c r="BJ181" s="7" t="s">
        <v>2</v>
      </c>
      <c r="BK181" s="8">
        <f>ROUND(I181*H181,2)</f>
        <v>0</v>
      </c>
      <c r="BL181" s="7" t="s">
        <v>328</v>
      </c>
      <c r="BM181" s="6" t="s">
        <v>1088</v>
      </c>
    </row>
    <row r="182" spans="2:65" s="2" customFormat="1">
      <c r="B182" s="3"/>
      <c r="D182" s="107" t="s">
        <v>651</v>
      </c>
      <c r="F182" s="106" t="s">
        <v>1087</v>
      </c>
      <c r="I182" s="94"/>
      <c r="L182" s="3"/>
      <c r="M182" s="100"/>
      <c r="T182" s="99"/>
      <c r="AT182" s="7" t="s">
        <v>651</v>
      </c>
      <c r="AU182" s="7" t="s">
        <v>365</v>
      </c>
    </row>
    <row r="183" spans="2:65" s="2" customFormat="1" ht="78">
      <c r="B183" s="3"/>
      <c r="D183" s="96" t="s">
        <v>731</v>
      </c>
      <c r="F183" s="95" t="s">
        <v>1086</v>
      </c>
      <c r="I183" s="94"/>
      <c r="L183" s="3"/>
      <c r="M183" s="100"/>
      <c r="T183" s="99"/>
      <c r="AT183" s="7" t="s">
        <v>731</v>
      </c>
      <c r="AU183" s="7" t="s">
        <v>365</v>
      </c>
    </row>
    <row r="184" spans="2:65" s="2" customFormat="1" ht="16.5" customHeight="1">
      <c r="B184" s="3"/>
      <c r="C184" s="20" t="s">
        <v>242</v>
      </c>
      <c r="D184" s="20" t="s">
        <v>4</v>
      </c>
      <c r="E184" s="19" t="s">
        <v>1085</v>
      </c>
      <c r="F184" s="14" t="s">
        <v>1084</v>
      </c>
      <c r="G184" s="18" t="s">
        <v>722</v>
      </c>
      <c r="H184" s="17">
        <v>1</v>
      </c>
      <c r="I184" s="16"/>
      <c r="J184" s="15">
        <f>ROUND(I184*H184,2)</f>
        <v>0</v>
      </c>
      <c r="K184" s="14" t="s">
        <v>654</v>
      </c>
      <c r="L184" s="3"/>
      <c r="M184" s="24" t="s">
        <v>6</v>
      </c>
      <c r="N184" s="23" t="s">
        <v>5</v>
      </c>
      <c r="P184" s="22">
        <f>O184*H184</f>
        <v>0</v>
      </c>
      <c r="Q184" s="22">
        <v>6.9999999999999994E-5</v>
      </c>
      <c r="R184" s="22">
        <f>Q184*H184</f>
        <v>6.9999999999999994E-5</v>
      </c>
      <c r="S184" s="22">
        <v>4.4999999999999997E-3</v>
      </c>
      <c r="T184" s="21">
        <f>S184*H184</f>
        <v>4.4999999999999997E-3</v>
      </c>
      <c r="AR184" s="6" t="s">
        <v>328</v>
      </c>
      <c r="AT184" s="6" t="s">
        <v>4</v>
      </c>
      <c r="AU184" s="6" t="s">
        <v>365</v>
      </c>
      <c r="AY184" s="7" t="s">
        <v>3</v>
      </c>
      <c r="BE184" s="8">
        <f>IF(N184="základní",J184,0)</f>
        <v>0</v>
      </c>
      <c r="BF184" s="8">
        <f>IF(N184="snížená",J184,0)</f>
        <v>0</v>
      </c>
      <c r="BG184" s="8">
        <f>IF(N184="zákl. přenesená",J184,0)</f>
        <v>0</v>
      </c>
      <c r="BH184" s="8">
        <f>IF(N184="sníž. přenesená",J184,0)</f>
        <v>0</v>
      </c>
      <c r="BI184" s="8">
        <f>IF(N184="nulová",J184,0)</f>
        <v>0</v>
      </c>
      <c r="BJ184" s="7" t="s">
        <v>2</v>
      </c>
      <c r="BK184" s="8">
        <f>ROUND(I184*H184,2)</f>
        <v>0</v>
      </c>
      <c r="BL184" s="7" t="s">
        <v>328</v>
      </c>
      <c r="BM184" s="6" t="s">
        <v>1083</v>
      </c>
    </row>
    <row r="185" spans="2:65" s="2" customFormat="1">
      <c r="B185" s="3"/>
      <c r="D185" s="107" t="s">
        <v>651</v>
      </c>
      <c r="F185" s="106" t="s">
        <v>1082</v>
      </c>
      <c r="I185" s="94"/>
      <c r="L185" s="3"/>
      <c r="M185" s="100"/>
      <c r="T185" s="99"/>
      <c r="AT185" s="7" t="s">
        <v>651</v>
      </c>
      <c r="AU185" s="7" t="s">
        <v>365</v>
      </c>
    </row>
    <row r="186" spans="2:65" s="2" customFormat="1" ht="16.5" customHeight="1">
      <c r="B186" s="3"/>
      <c r="C186" s="20" t="s">
        <v>239</v>
      </c>
      <c r="D186" s="20" t="s">
        <v>4</v>
      </c>
      <c r="E186" s="19" t="s">
        <v>1081</v>
      </c>
      <c r="F186" s="14" t="s">
        <v>1080</v>
      </c>
      <c r="G186" s="18" t="s">
        <v>722</v>
      </c>
      <c r="H186" s="17">
        <v>3</v>
      </c>
      <c r="I186" s="16"/>
      <c r="J186" s="15">
        <f>ROUND(I186*H186,2)</f>
        <v>0</v>
      </c>
      <c r="K186" s="14" t="s">
        <v>654</v>
      </c>
      <c r="L186" s="3"/>
      <c r="M186" s="24" t="s">
        <v>6</v>
      </c>
      <c r="N186" s="23" t="s">
        <v>5</v>
      </c>
      <c r="P186" s="22">
        <f>O186*H186</f>
        <v>0</v>
      </c>
      <c r="Q186" s="22">
        <v>6.9999999999999994E-5</v>
      </c>
      <c r="R186" s="22">
        <f>Q186*H186</f>
        <v>2.0999999999999998E-4</v>
      </c>
      <c r="S186" s="22">
        <v>2.1000000000000001E-2</v>
      </c>
      <c r="T186" s="21">
        <f>S186*H186</f>
        <v>6.3E-2</v>
      </c>
      <c r="AR186" s="6" t="s">
        <v>328</v>
      </c>
      <c r="AT186" s="6" t="s">
        <v>4</v>
      </c>
      <c r="AU186" s="6" t="s">
        <v>365</v>
      </c>
      <c r="AY186" s="7" t="s">
        <v>3</v>
      </c>
      <c r="BE186" s="8">
        <f>IF(N186="základní",J186,0)</f>
        <v>0</v>
      </c>
      <c r="BF186" s="8">
        <f>IF(N186="snížená",J186,0)</f>
        <v>0</v>
      </c>
      <c r="BG186" s="8">
        <f>IF(N186="zákl. přenesená",J186,0)</f>
        <v>0</v>
      </c>
      <c r="BH186" s="8">
        <f>IF(N186="sníž. přenesená",J186,0)</f>
        <v>0</v>
      </c>
      <c r="BI186" s="8">
        <f>IF(N186="nulová",J186,0)</f>
        <v>0</v>
      </c>
      <c r="BJ186" s="7" t="s">
        <v>2</v>
      </c>
      <c r="BK186" s="8">
        <f>ROUND(I186*H186,2)</f>
        <v>0</v>
      </c>
      <c r="BL186" s="7" t="s">
        <v>328</v>
      </c>
      <c r="BM186" s="6" t="s">
        <v>1079</v>
      </c>
    </row>
    <row r="187" spans="2:65" s="2" customFormat="1">
      <c r="B187" s="3"/>
      <c r="D187" s="107" t="s">
        <v>651</v>
      </c>
      <c r="F187" s="106" t="s">
        <v>1078</v>
      </c>
      <c r="I187" s="94"/>
      <c r="L187" s="3"/>
      <c r="M187" s="100"/>
      <c r="T187" s="99"/>
      <c r="AT187" s="7" t="s">
        <v>651</v>
      </c>
      <c r="AU187" s="7" t="s">
        <v>365</v>
      </c>
    </row>
    <row r="188" spans="2:65" s="2" customFormat="1" ht="16.5" customHeight="1">
      <c r="B188" s="3"/>
      <c r="C188" s="20" t="s">
        <v>233</v>
      </c>
      <c r="D188" s="20" t="s">
        <v>4</v>
      </c>
      <c r="E188" s="19" t="s">
        <v>1077</v>
      </c>
      <c r="F188" s="14" t="s">
        <v>1076</v>
      </c>
      <c r="G188" s="18" t="s">
        <v>1075</v>
      </c>
      <c r="H188" s="17">
        <v>24</v>
      </c>
      <c r="I188" s="16"/>
      <c r="J188" s="15">
        <f>ROUND(I188*H188,2)</f>
        <v>0</v>
      </c>
      <c r="K188" s="14" t="s">
        <v>7</v>
      </c>
      <c r="L188" s="3"/>
      <c r="M188" s="24" t="s">
        <v>6</v>
      </c>
      <c r="N188" s="23" t="s">
        <v>5</v>
      </c>
      <c r="P188" s="22">
        <f>O188*H188</f>
        <v>0</v>
      </c>
      <c r="Q188" s="22">
        <v>0</v>
      </c>
      <c r="R188" s="22">
        <f>Q188*H188</f>
        <v>0</v>
      </c>
      <c r="S188" s="22">
        <v>0</v>
      </c>
      <c r="T188" s="21">
        <f>S188*H188</f>
        <v>0</v>
      </c>
      <c r="AR188" s="6" t="s">
        <v>328</v>
      </c>
      <c r="AT188" s="6" t="s">
        <v>4</v>
      </c>
      <c r="AU188" s="6" t="s">
        <v>365</v>
      </c>
      <c r="AY188" s="7" t="s">
        <v>3</v>
      </c>
      <c r="BE188" s="8">
        <f>IF(N188="základní",J188,0)</f>
        <v>0</v>
      </c>
      <c r="BF188" s="8">
        <f>IF(N188="snížená",J188,0)</f>
        <v>0</v>
      </c>
      <c r="BG188" s="8">
        <f>IF(N188="zákl. přenesená",J188,0)</f>
        <v>0</v>
      </c>
      <c r="BH188" s="8">
        <f>IF(N188="sníž. přenesená",J188,0)</f>
        <v>0</v>
      </c>
      <c r="BI188" s="8">
        <f>IF(N188="nulová",J188,0)</f>
        <v>0</v>
      </c>
      <c r="BJ188" s="7" t="s">
        <v>2</v>
      </c>
      <c r="BK188" s="8">
        <f>ROUND(I188*H188,2)</f>
        <v>0</v>
      </c>
      <c r="BL188" s="7" t="s">
        <v>328</v>
      </c>
      <c r="BM188" s="6" t="s">
        <v>1074</v>
      </c>
    </row>
    <row r="189" spans="2:65" s="2" customFormat="1" ht="16.5" customHeight="1">
      <c r="B189" s="3"/>
      <c r="C189" s="20" t="s">
        <v>228</v>
      </c>
      <c r="D189" s="20" t="s">
        <v>4</v>
      </c>
      <c r="E189" s="19" t="s">
        <v>1073</v>
      </c>
      <c r="F189" s="14" t="s">
        <v>1072</v>
      </c>
      <c r="G189" s="18" t="s">
        <v>714</v>
      </c>
      <c r="H189" s="17">
        <v>1</v>
      </c>
      <c r="I189" s="16"/>
      <c r="J189" s="15">
        <f>ROUND(I189*H189,2)</f>
        <v>0</v>
      </c>
      <c r="K189" s="14" t="s">
        <v>7</v>
      </c>
      <c r="L189" s="3"/>
      <c r="M189" s="24" t="s">
        <v>6</v>
      </c>
      <c r="N189" s="23" t="s">
        <v>5</v>
      </c>
      <c r="P189" s="22">
        <f>O189*H189</f>
        <v>0</v>
      </c>
      <c r="Q189" s="22">
        <v>0</v>
      </c>
      <c r="R189" s="22">
        <f>Q189*H189</f>
        <v>0</v>
      </c>
      <c r="S189" s="22">
        <v>0</v>
      </c>
      <c r="T189" s="21">
        <f>S189*H189</f>
        <v>0</v>
      </c>
      <c r="AR189" s="6" t="s">
        <v>328</v>
      </c>
      <c r="AT189" s="6" t="s">
        <v>4</v>
      </c>
      <c r="AU189" s="6" t="s">
        <v>365</v>
      </c>
      <c r="AY189" s="7" t="s">
        <v>3</v>
      </c>
      <c r="BE189" s="8">
        <f>IF(N189="základní",J189,0)</f>
        <v>0</v>
      </c>
      <c r="BF189" s="8">
        <f>IF(N189="snížená",J189,0)</f>
        <v>0</v>
      </c>
      <c r="BG189" s="8">
        <f>IF(N189="zákl. přenesená",J189,0)</f>
        <v>0</v>
      </c>
      <c r="BH189" s="8">
        <f>IF(N189="sníž. přenesená",J189,0)</f>
        <v>0</v>
      </c>
      <c r="BI189" s="8">
        <f>IF(N189="nulová",J189,0)</f>
        <v>0</v>
      </c>
      <c r="BJ189" s="7" t="s">
        <v>2</v>
      </c>
      <c r="BK189" s="8">
        <f>ROUND(I189*H189,2)</f>
        <v>0</v>
      </c>
      <c r="BL189" s="7" t="s">
        <v>328</v>
      </c>
      <c r="BM189" s="6" t="s">
        <v>1071</v>
      </c>
    </row>
    <row r="190" spans="2:65" s="25" customFormat="1" ht="22.9" customHeight="1">
      <c r="B190" s="32"/>
      <c r="D190" s="27" t="s">
        <v>26</v>
      </c>
      <c r="E190" s="98" t="s">
        <v>1070</v>
      </c>
      <c r="F190" s="98" t="s">
        <v>1069</v>
      </c>
      <c r="I190" s="34"/>
      <c r="J190" s="97">
        <f>BK190</f>
        <v>0</v>
      </c>
      <c r="L190" s="32"/>
      <c r="M190" s="31"/>
      <c r="P190" s="30">
        <f>SUM(P191:P252)</f>
        <v>0</v>
      </c>
      <c r="R190" s="30">
        <f>SUM(R191:R252)</f>
        <v>0.30152000000000012</v>
      </c>
      <c r="T190" s="29">
        <f>SUM(T191:T252)</f>
        <v>0.28805000000000003</v>
      </c>
      <c r="AR190" s="27" t="s">
        <v>365</v>
      </c>
      <c r="AT190" s="28" t="s">
        <v>26</v>
      </c>
      <c r="AU190" s="28" t="s">
        <v>2</v>
      </c>
      <c r="AY190" s="27" t="s">
        <v>3</v>
      </c>
      <c r="BK190" s="26">
        <f>SUM(BK191:BK252)</f>
        <v>0</v>
      </c>
    </row>
    <row r="191" spans="2:65" s="2" customFormat="1" ht="24.2" customHeight="1">
      <c r="B191" s="3"/>
      <c r="C191" s="20" t="s">
        <v>225</v>
      </c>
      <c r="D191" s="20" t="s">
        <v>4</v>
      </c>
      <c r="E191" s="19" t="s">
        <v>1068</v>
      </c>
      <c r="F191" s="14" t="s">
        <v>1067</v>
      </c>
      <c r="G191" s="18" t="s">
        <v>21</v>
      </c>
      <c r="H191" s="17">
        <v>9</v>
      </c>
      <c r="I191" s="16"/>
      <c r="J191" s="15">
        <f>ROUND(I191*H191,2)</f>
        <v>0</v>
      </c>
      <c r="K191" s="14" t="s">
        <v>654</v>
      </c>
      <c r="L191" s="3"/>
      <c r="M191" s="24" t="s">
        <v>6</v>
      </c>
      <c r="N191" s="23" t="s">
        <v>5</v>
      </c>
      <c r="P191" s="22">
        <f>O191*H191</f>
        <v>0</v>
      </c>
      <c r="Q191" s="22">
        <v>4.4000000000000003E-3</v>
      </c>
      <c r="R191" s="22">
        <f>Q191*H191</f>
        <v>3.9600000000000003E-2</v>
      </c>
      <c r="S191" s="22">
        <v>0</v>
      </c>
      <c r="T191" s="21">
        <f>S191*H191</f>
        <v>0</v>
      </c>
      <c r="AR191" s="6" t="s">
        <v>328</v>
      </c>
      <c r="AT191" s="6" t="s">
        <v>4</v>
      </c>
      <c r="AU191" s="6" t="s">
        <v>365</v>
      </c>
      <c r="AY191" s="7" t="s">
        <v>3</v>
      </c>
      <c r="BE191" s="8">
        <f>IF(N191="základní",J191,0)</f>
        <v>0</v>
      </c>
      <c r="BF191" s="8">
        <f>IF(N191="snížená",J191,0)</f>
        <v>0</v>
      </c>
      <c r="BG191" s="8">
        <f>IF(N191="zákl. přenesená",J191,0)</f>
        <v>0</v>
      </c>
      <c r="BH191" s="8">
        <f>IF(N191="sníž. přenesená",J191,0)</f>
        <v>0</v>
      </c>
      <c r="BI191" s="8">
        <f>IF(N191="nulová",J191,0)</f>
        <v>0</v>
      </c>
      <c r="BJ191" s="7" t="s">
        <v>2</v>
      </c>
      <c r="BK191" s="8">
        <f>ROUND(I191*H191,2)</f>
        <v>0</v>
      </c>
      <c r="BL191" s="7" t="s">
        <v>328</v>
      </c>
      <c r="BM191" s="6" t="s">
        <v>1066</v>
      </c>
    </row>
    <row r="192" spans="2:65" s="2" customFormat="1">
      <c r="B192" s="3"/>
      <c r="D192" s="107" t="s">
        <v>651</v>
      </c>
      <c r="F192" s="106" t="s">
        <v>1065</v>
      </c>
      <c r="I192" s="94"/>
      <c r="L192" s="3"/>
      <c r="M192" s="100"/>
      <c r="T192" s="99"/>
      <c r="AT192" s="7" t="s">
        <v>651</v>
      </c>
      <c r="AU192" s="7" t="s">
        <v>365</v>
      </c>
    </row>
    <row r="193" spans="2:65" s="2" customFormat="1" ht="24.2" customHeight="1">
      <c r="B193" s="3"/>
      <c r="C193" s="20" t="s">
        <v>222</v>
      </c>
      <c r="D193" s="20" t="s">
        <v>4</v>
      </c>
      <c r="E193" s="19" t="s">
        <v>1064</v>
      </c>
      <c r="F193" s="14" t="s">
        <v>1063</v>
      </c>
      <c r="G193" s="18" t="s">
        <v>21</v>
      </c>
      <c r="H193" s="17">
        <v>31</v>
      </c>
      <c r="I193" s="16"/>
      <c r="J193" s="15">
        <f>ROUND(I193*H193,2)</f>
        <v>0</v>
      </c>
      <c r="K193" s="14" t="s">
        <v>654</v>
      </c>
      <c r="L193" s="3"/>
      <c r="M193" s="24" t="s">
        <v>6</v>
      </c>
      <c r="N193" s="23" t="s">
        <v>5</v>
      </c>
      <c r="P193" s="22">
        <f>O193*H193</f>
        <v>0</v>
      </c>
      <c r="Q193" s="22">
        <v>1.48E-3</v>
      </c>
      <c r="R193" s="22">
        <f>Q193*H193</f>
        <v>4.5879999999999997E-2</v>
      </c>
      <c r="S193" s="22">
        <v>0</v>
      </c>
      <c r="T193" s="21">
        <f>S193*H193</f>
        <v>0</v>
      </c>
      <c r="AR193" s="6" t="s">
        <v>328</v>
      </c>
      <c r="AT193" s="6" t="s">
        <v>4</v>
      </c>
      <c r="AU193" s="6" t="s">
        <v>365</v>
      </c>
      <c r="AY193" s="7" t="s">
        <v>3</v>
      </c>
      <c r="BE193" s="8">
        <f>IF(N193="základní",J193,0)</f>
        <v>0</v>
      </c>
      <c r="BF193" s="8">
        <f>IF(N193="snížená",J193,0)</f>
        <v>0</v>
      </c>
      <c r="BG193" s="8">
        <f>IF(N193="zákl. přenesená",J193,0)</f>
        <v>0</v>
      </c>
      <c r="BH193" s="8">
        <f>IF(N193="sníž. přenesená",J193,0)</f>
        <v>0</v>
      </c>
      <c r="BI193" s="8">
        <f>IF(N193="nulová",J193,0)</f>
        <v>0</v>
      </c>
      <c r="BJ193" s="7" t="s">
        <v>2</v>
      </c>
      <c r="BK193" s="8">
        <f>ROUND(I193*H193,2)</f>
        <v>0</v>
      </c>
      <c r="BL193" s="7" t="s">
        <v>328</v>
      </c>
      <c r="BM193" s="6" t="s">
        <v>1062</v>
      </c>
    </row>
    <row r="194" spans="2:65" s="2" customFormat="1">
      <c r="B194" s="3"/>
      <c r="D194" s="107" t="s">
        <v>651</v>
      </c>
      <c r="F194" s="106" t="s">
        <v>1061</v>
      </c>
      <c r="I194" s="94"/>
      <c r="L194" s="3"/>
      <c r="M194" s="100"/>
      <c r="T194" s="99"/>
      <c r="AT194" s="7" t="s">
        <v>651</v>
      </c>
      <c r="AU194" s="7" t="s">
        <v>365</v>
      </c>
    </row>
    <row r="195" spans="2:65" s="2" customFormat="1" ht="24.2" customHeight="1">
      <c r="B195" s="3"/>
      <c r="C195" s="20" t="s">
        <v>218</v>
      </c>
      <c r="D195" s="20" t="s">
        <v>4</v>
      </c>
      <c r="E195" s="19" t="s">
        <v>1060</v>
      </c>
      <c r="F195" s="14" t="s">
        <v>1059</v>
      </c>
      <c r="G195" s="18" t="s">
        <v>21</v>
      </c>
      <c r="H195" s="17">
        <v>1</v>
      </c>
      <c r="I195" s="16"/>
      <c r="J195" s="15">
        <f>ROUND(I195*H195,2)</f>
        <v>0</v>
      </c>
      <c r="K195" s="14" t="s">
        <v>654</v>
      </c>
      <c r="L195" s="3"/>
      <c r="M195" s="24" t="s">
        <v>6</v>
      </c>
      <c r="N195" s="23" t="s">
        <v>5</v>
      </c>
      <c r="P195" s="22">
        <f>O195*H195</f>
        <v>0</v>
      </c>
      <c r="Q195" s="22">
        <v>1.89E-3</v>
      </c>
      <c r="R195" s="22">
        <f>Q195*H195</f>
        <v>1.89E-3</v>
      </c>
      <c r="S195" s="22">
        <v>0</v>
      </c>
      <c r="T195" s="21">
        <f>S195*H195</f>
        <v>0</v>
      </c>
      <c r="AR195" s="6" t="s">
        <v>328</v>
      </c>
      <c r="AT195" s="6" t="s">
        <v>4</v>
      </c>
      <c r="AU195" s="6" t="s">
        <v>365</v>
      </c>
      <c r="AY195" s="7" t="s">
        <v>3</v>
      </c>
      <c r="BE195" s="8">
        <f>IF(N195="základní",J195,0)</f>
        <v>0</v>
      </c>
      <c r="BF195" s="8">
        <f>IF(N195="snížená",J195,0)</f>
        <v>0</v>
      </c>
      <c r="BG195" s="8">
        <f>IF(N195="zákl. přenesená",J195,0)</f>
        <v>0</v>
      </c>
      <c r="BH195" s="8">
        <f>IF(N195="sníž. přenesená",J195,0)</f>
        <v>0</v>
      </c>
      <c r="BI195" s="8">
        <f>IF(N195="nulová",J195,0)</f>
        <v>0</v>
      </c>
      <c r="BJ195" s="7" t="s">
        <v>2</v>
      </c>
      <c r="BK195" s="8">
        <f>ROUND(I195*H195,2)</f>
        <v>0</v>
      </c>
      <c r="BL195" s="7" t="s">
        <v>328</v>
      </c>
      <c r="BM195" s="6" t="s">
        <v>1058</v>
      </c>
    </row>
    <row r="196" spans="2:65" s="2" customFormat="1">
      <c r="B196" s="3"/>
      <c r="D196" s="107" t="s">
        <v>651</v>
      </c>
      <c r="F196" s="106" t="s">
        <v>1057</v>
      </c>
      <c r="I196" s="94"/>
      <c r="L196" s="3"/>
      <c r="M196" s="100"/>
      <c r="T196" s="99"/>
      <c r="AT196" s="7" t="s">
        <v>651</v>
      </c>
      <c r="AU196" s="7" t="s">
        <v>365</v>
      </c>
    </row>
    <row r="197" spans="2:65" s="2" customFormat="1" ht="24.2" customHeight="1">
      <c r="B197" s="3"/>
      <c r="C197" s="20" t="s">
        <v>214</v>
      </c>
      <c r="D197" s="20" t="s">
        <v>4</v>
      </c>
      <c r="E197" s="19" t="s">
        <v>1056</v>
      </c>
      <c r="F197" s="14" t="s">
        <v>1055</v>
      </c>
      <c r="G197" s="18" t="s">
        <v>21</v>
      </c>
      <c r="H197" s="17">
        <v>46</v>
      </c>
      <c r="I197" s="16"/>
      <c r="J197" s="15">
        <f>ROUND(I197*H197,2)</f>
        <v>0</v>
      </c>
      <c r="K197" s="14" t="s">
        <v>654</v>
      </c>
      <c r="L197" s="3"/>
      <c r="M197" s="24" t="s">
        <v>6</v>
      </c>
      <c r="N197" s="23" t="s">
        <v>5</v>
      </c>
      <c r="P197" s="22">
        <f>O197*H197</f>
        <v>0</v>
      </c>
      <c r="Q197" s="22">
        <v>2.8400000000000001E-3</v>
      </c>
      <c r="R197" s="22">
        <f>Q197*H197</f>
        <v>0.13064000000000001</v>
      </c>
      <c r="S197" s="22">
        <v>0</v>
      </c>
      <c r="T197" s="21">
        <f>S197*H197</f>
        <v>0</v>
      </c>
      <c r="AR197" s="6" t="s">
        <v>328</v>
      </c>
      <c r="AT197" s="6" t="s">
        <v>4</v>
      </c>
      <c r="AU197" s="6" t="s">
        <v>365</v>
      </c>
      <c r="AY197" s="7" t="s">
        <v>3</v>
      </c>
      <c r="BE197" s="8">
        <f>IF(N197="základní",J197,0)</f>
        <v>0</v>
      </c>
      <c r="BF197" s="8">
        <f>IF(N197="snížená",J197,0)</f>
        <v>0</v>
      </c>
      <c r="BG197" s="8">
        <f>IF(N197="zákl. přenesená",J197,0)</f>
        <v>0</v>
      </c>
      <c r="BH197" s="8">
        <f>IF(N197="sníž. přenesená",J197,0)</f>
        <v>0</v>
      </c>
      <c r="BI197" s="8">
        <f>IF(N197="nulová",J197,0)</f>
        <v>0</v>
      </c>
      <c r="BJ197" s="7" t="s">
        <v>2</v>
      </c>
      <c r="BK197" s="8">
        <f>ROUND(I197*H197,2)</f>
        <v>0</v>
      </c>
      <c r="BL197" s="7" t="s">
        <v>328</v>
      </c>
      <c r="BM197" s="6" t="s">
        <v>1054</v>
      </c>
    </row>
    <row r="198" spans="2:65" s="2" customFormat="1">
      <c r="B198" s="3"/>
      <c r="D198" s="107" t="s">
        <v>651</v>
      </c>
      <c r="F198" s="106" t="s">
        <v>1053</v>
      </c>
      <c r="I198" s="94"/>
      <c r="L198" s="3"/>
      <c r="M198" s="100"/>
      <c r="T198" s="99"/>
      <c r="AT198" s="7" t="s">
        <v>651</v>
      </c>
      <c r="AU198" s="7" t="s">
        <v>365</v>
      </c>
    </row>
    <row r="199" spans="2:65" s="2" customFormat="1" ht="24.2" customHeight="1">
      <c r="B199" s="3"/>
      <c r="C199" s="20" t="s">
        <v>210</v>
      </c>
      <c r="D199" s="20" t="s">
        <v>4</v>
      </c>
      <c r="E199" s="19" t="s">
        <v>1052</v>
      </c>
      <c r="F199" s="14" t="s">
        <v>1051</v>
      </c>
      <c r="G199" s="18" t="s">
        <v>21</v>
      </c>
      <c r="H199" s="17">
        <v>9</v>
      </c>
      <c r="I199" s="16"/>
      <c r="J199" s="15">
        <f>ROUND(I199*H199,2)</f>
        <v>0</v>
      </c>
      <c r="K199" s="14" t="s">
        <v>654</v>
      </c>
      <c r="L199" s="3"/>
      <c r="M199" s="24" t="s">
        <v>6</v>
      </c>
      <c r="N199" s="23" t="s">
        <v>5</v>
      </c>
      <c r="P199" s="22">
        <f>O199*H199</f>
        <v>0</v>
      </c>
      <c r="Q199" s="22">
        <v>3.6700000000000001E-3</v>
      </c>
      <c r="R199" s="22">
        <f>Q199*H199</f>
        <v>3.3030000000000004E-2</v>
      </c>
      <c r="S199" s="22">
        <v>0</v>
      </c>
      <c r="T199" s="21">
        <f>S199*H199</f>
        <v>0</v>
      </c>
      <c r="AR199" s="6" t="s">
        <v>328</v>
      </c>
      <c r="AT199" s="6" t="s">
        <v>4</v>
      </c>
      <c r="AU199" s="6" t="s">
        <v>365</v>
      </c>
      <c r="AY199" s="7" t="s">
        <v>3</v>
      </c>
      <c r="BE199" s="8">
        <f>IF(N199="základní",J199,0)</f>
        <v>0</v>
      </c>
      <c r="BF199" s="8">
        <f>IF(N199="snížená",J199,0)</f>
        <v>0</v>
      </c>
      <c r="BG199" s="8">
        <f>IF(N199="zákl. přenesená",J199,0)</f>
        <v>0</v>
      </c>
      <c r="BH199" s="8">
        <f>IF(N199="sníž. přenesená",J199,0)</f>
        <v>0</v>
      </c>
      <c r="BI199" s="8">
        <f>IF(N199="nulová",J199,0)</f>
        <v>0</v>
      </c>
      <c r="BJ199" s="7" t="s">
        <v>2</v>
      </c>
      <c r="BK199" s="8">
        <f>ROUND(I199*H199,2)</f>
        <v>0</v>
      </c>
      <c r="BL199" s="7" t="s">
        <v>328</v>
      </c>
      <c r="BM199" s="6" t="s">
        <v>1050</v>
      </c>
    </row>
    <row r="200" spans="2:65" s="2" customFormat="1">
      <c r="B200" s="3"/>
      <c r="D200" s="107" t="s">
        <v>651</v>
      </c>
      <c r="F200" s="106" t="s">
        <v>1049</v>
      </c>
      <c r="I200" s="94"/>
      <c r="L200" s="3"/>
      <c r="M200" s="100"/>
      <c r="T200" s="99"/>
      <c r="AT200" s="7" t="s">
        <v>651</v>
      </c>
      <c r="AU200" s="7" t="s">
        <v>365</v>
      </c>
    </row>
    <row r="201" spans="2:65" s="2" customFormat="1" ht="24.2" customHeight="1">
      <c r="B201" s="3"/>
      <c r="C201" s="20" t="s">
        <v>206</v>
      </c>
      <c r="D201" s="20" t="s">
        <v>4</v>
      </c>
      <c r="E201" s="19" t="s">
        <v>1048</v>
      </c>
      <c r="F201" s="14" t="s">
        <v>1047</v>
      </c>
      <c r="G201" s="18" t="s">
        <v>21</v>
      </c>
      <c r="H201" s="17">
        <v>3</v>
      </c>
      <c r="I201" s="16"/>
      <c r="J201" s="15">
        <f>ROUND(I201*H201,2)</f>
        <v>0</v>
      </c>
      <c r="K201" s="14" t="s">
        <v>654</v>
      </c>
      <c r="L201" s="3"/>
      <c r="M201" s="24" t="s">
        <v>6</v>
      </c>
      <c r="N201" s="23" t="s">
        <v>5</v>
      </c>
      <c r="P201" s="22">
        <f>O201*H201</f>
        <v>0</v>
      </c>
      <c r="Q201" s="22">
        <v>6.2899999999999996E-3</v>
      </c>
      <c r="R201" s="22">
        <f>Q201*H201</f>
        <v>1.8869999999999998E-2</v>
      </c>
      <c r="S201" s="22">
        <v>0</v>
      </c>
      <c r="T201" s="21">
        <f>S201*H201</f>
        <v>0</v>
      </c>
      <c r="AR201" s="6" t="s">
        <v>328</v>
      </c>
      <c r="AT201" s="6" t="s">
        <v>4</v>
      </c>
      <c r="AU201" s="6" t="s">
        <v>365</v>
      </c>
      <c r="AY201" s="7" t="s">
        <v>3</v>
      </c>
      <c r="BE201" s="8">
        <f>IF(N201="základní",J201,0)</f>
        <v>0</v>
      </c>
      <c r="BF201" s="8">
        <f>IF(N201="snížená",J201,0)</f>
        <v>0</v>
      </c>
      <c r="BG201" s="8">
        <f>IF(N201="zákl. přenesená",J201,0)</f>
        <v>0</v>
      </c>
      <c r="BH201" s="8">
        <f>IF(N201="sníž. přenesená",J201,0)</f>
        <v>0</v>
      </c>
      <c r="BI201" s="8">
        <f>IF(N201="nulová",J201,0)</f>
        <v>0</v>
      </c>
      <c r="BJ201" s="7" t="s">
        <v>2</v>
      </c>
      <c r="BK201" s="8">
        <f>ROUND(I201*H201,2)</f>
        <v>0</v>
      </c>
      <c r="BL201" s="7" t="s">
        <v>328</v>
      </c>
      <c r="BM201" s="6" t="s">
        <v>1046</v>
      </c>
    </row>
    <row r="202" spans="2:65" s="2" customFormat="1">
      <c r="B202" s="3"/>
      <c r="D202" s="107" t="s">
        <v>651</v>
      </c>
      <c r="F202" s="106" t="s">
        <v>1045</v>
      </c>
      <c r="I202" s="94"/>
      <c r="L202" s="3"/>
      <c r="M202" s="100"/>
      <c r="T202" s="99"/>
      <c r="AT202" s="7" t="s">
        <v>651</v>
      </c>
      <c r="AU202" s="7" t="s">
        <v>365</v>
      </c>
    </row>
    <row r="203" spans="2:65" s="2" customFormat="1" ht="24.2" customHeight="1">
      <c r="B203" s="3"/>
      <c r="C203" s="20" t="s">
        <v>203</v>
      </c>
      <c r="D203" s="20" t="s">
        <v>4</v>
      </c>
      <c r="E203" s="19" t="s">
        <v>1044</v>
      </c>
      <c r="F203" s="14" t="s">
        <v>1043</v>
      </c>
      <c r="G203" s="18" t="s">
        <v>722</v>
      </c>
      <c r="H203" s="17">
        <v>4</v>
      </c>
      <c r="I203" s="16"/>
      <c r="J203" s="15">
        <f>ROUND(I203*H203,2)</f>
        <v>0</v>
      </c>
      <c r="K203" s="14" t="s">
        <v>654</v>
      </c>
      <c r="L203" s="3"/>
      <c r="M203" s="24" t="s">
        <v>6</v>
      </c>
      <c r="N203" s="23" t="s">
        <v>5</v>
      </c>
      <c r="P203" s="22">
        <f>O203*H203</f>
        <v>0</v>
      </c>
      <c r="Q203" s="22">
        <v>0</v>
      </c>
      <c r="R203" s="22">
        <f>Q203*H203</f>
        <v>0</v>
      </c>
      <c r="S203" s="22">
        <v>0</v>
      </c>
      <c r="T203" s="21">
        <f>S203*H203</f>
        <v>0</v>
      </c>
      <c r="AR203" s="6" t="s">
        <v>328</v>
      </c>
      <c r="AT203" s="6" t="s">
        <v>4</v>
      </c>
      <c r="AU203" s="6" t="s">
        <v>365</v>
      </c>
      <c r="AY203" s="7" t="s">
        <v>3</v>
      </c>
      <c r="BE203" s="8">
        <f>IF(N203="základní",J203,0)</f>
        <v>0</v>
      </c>
      <c r="BF203" s="8">
        <f>IF(N203="snížená",J203,0)</f>
        <v>0</v>
      </c>
      <c r="BG203" s="8">
        <f>IF(N203="zákl. přenesená",J203,0)</f>
        <v>0</v>
      </c>
      <c r="BH203" s="8">
        <f>IF(N203="sníž. přenesená",J203,0)</f>
        <v>0</v>
      </c>
      <c r="BI203" s="8">
        <f>IF(N203="nulová",J203,0)</f>
        <v>0</v>
      </c>
      <c r="BJ203" s="7" t="s">
        <v>2</v>
      </c>
      <c r="BK203" s="8">
        <f>ROUND(I203*H203,2)</f>
        <v>0</v>
      </c>
      <c r="BL203" s="7" t="s">
        <v>328</v>
      </c>
      <c r="BM203" s="6" t="s">
        <v>1042</v>
      </c>
    </row>
    <row r="204" spans="2:65" s="2" customFormat="1">
      <c r="B204" s="3"/>
      <c r="D204" s="107" t="s">
        <v>651</v>
      </c>
      <c r="F204" s="106" t="s">
        <v>1041</v>
      </c>
      <c r="I204" s="94"/>
      <c r="L204" s="3"/>
      <c r="M204" s="100"/>
      <c r="T204" s="99"/>
      <c r="AT204" s="7" t="s">
        <v>651</v>
      </c>
      <c r="AU204" s="7" t="s">
        <v>365</v>
      </c>
    </row>
    <row r="205" spans="2:65" s="2" customFormat="1" ht="24.2" customHeight="1">
      <c r="B205" s="3"/>
      <c r="C205" s="20" t="s">
        <v>199</v>
      </c>
      <c r="D205" s="20" t="s">
        <v>4</v>
      </c>
      <c r="E205" s="19" t="s">
        <v>1040</v>
      </c>
      <c r="F205" s="14" t="s">
        <v>1039</v>
      </c>
      <c r="G205" s="18" t="s">
        <v>722</v>
      </c>
      <c r="H205" s="17">
        <v>10</v>
      </c>
      <c r="I205" s="16"/>
      <c r="J205" s="15">
        <f>ROUND(I205*H205,2)</f>
        <v>0</v>
      </c>
      <c r="K205" s="14" t="s">
        <v>654</v>
      </c>
      <c r="L205" s="3"/>
      <c r="M205" s="24" t="s">
        <v>6</v>
      </c>
      <c r="N205" s="23" t="s">
        <v>5</v>
      </c>
      <c r="P205" s="22">
        <f>O205*H205</f>
        <v>0</v>
      </c>
      <c r="Q205" s="22">
        <v>0</v>
      </c>
      <c r="R205" s="22">
        <f>Q205*H205</f>
        <v>0</v>
      </c>
      <c r="S205" s="22">
        <v>0</v>
      </c>
      <c r="T205" s="21">
        <f>S205*H205</f>
        <v>0</v>
      </c>
      <c r="AR205" s="6" t="s">
        <v>328</v>
      </c>
      <c r="AT205" s="6" t="s">
        <v>4</v>
      </c>
      <c r="AU205" s="6" t="s">
        <v>365</v>
      </c>
      <c r="AY205" s="7" t="s">
        <v>3</v>
      </c>
      <c r="BE205" s="8">
        <f>IF(N205="základní",J205,0)</f>
        <v>0</v>
      </c>
      <c r="BF205" s="8">
        <f>IF(N205="snížená",J205,0)</f>
        <v>0</v>
      </c>
      <c r="BG205" s="8">
        <f>IF(N205="zákl. přenesená",J205,0)</f>
        <v>0</v>
      </c>
      <c r="BH205" s="8">
        <f>IF(N205="sníž. přenesená",J205,0)</f>
        <v>0</v>
      </c>
      <c r="BI205" s="8">
        <f>IF(N205="nulová",J205,0)</f>
        <v>0</v>
      </c>
      <c r="BJ205" s="7" t="s">
        <v>2</v>
      </c>
      <c r="BK205" s="8">
        <f>ROUND(I205*H205,2)</f>
        <v>0</v>
      </c>
      <c r="BL205" s="7" t="s">
        <v>328</v>
      </c>
      <c r="BM205" s="6" t="s">
        <v>1038</v>
      </c>
    </row>
    <row r="206" spans="2:65" s="2" customFormat="1">
      <c r="B206" s="3"/>
      <c r="D206" s="107" t="s">
        <v>651</v>
      </c>
      <c r="F206" s="106" t="s">
        <v>1037</v>
      </c>
      <c r="I206" s="94"/>
      <c r="L206" s="3"/>
      <c r="M206" s="100"/>
      <c r="T206" s="99"/>
      <c r="AT206" s="7" t="s">
        <v>651</v>
      </c>
      <c r="AU206" s="7" t="s">
        <v>365</v>
      </c>
    </row>
    <row r="207" spans="2:65" s="2" customFormat="1" ht="24.2" customHeight="1">
      <c r="B207" s="3"/>
      <c r="C207" s="20" t="s">
        <v>195</v>
      </c>
      <c r="D207" s="20" t="s">
        <v>4</v>
      </c>
      <c r="E207" s="19" t="s">
        <v>1036</v>
      </c>
      <c r="F207" s="14" t="s">
        <v>1035</v>
      </c>
      <c r="G207" s="18" t="s">
        <v>21</v>
      </c>
      <c r="H207" s="17">
        <v>1</v>
      </c>
      <c r="I207" s="16"/>
      <c r="J207" s="15">
        <f>ROUND(I207*H207,2)</f>
        <v>0</v>
      </c>
      <c r="K207" s="14" t="s">
        <v>654</v>
      </c>
      <c r="L207" s="3"/>
      <c r="M207" s="24" t="s">
        <v>6</v>
      </c>
      <c r="N207" s="23" t="s">
        <v>5</v>
      </c>
      <c r="P207" s="22">
        <f>O207*H207</f>
        <v>0</v>
      </c>
      <c r="Q207" s="22">
        <v>9.5499999999999995E-3</v>
      </c>
      <c r="R207" s="22">
        <f>Q207*H207</f>
        <v>9.5499999999999995E-3</v>
      </c>
      <c r="S207" s="22">
        <v>0</v>
      </c>
      <c r="T207" s="21">
        <f>S207*H207</f>
        <v>0</v>
      </c>
      <c r="AR207" s="6" t="s">
        <v>328</v>
      </c>
      <c r="AT207" s="6" t="s">
        <v>4</v>
      </c>
      <c r="AU207" s="6" t="s">
        <v>365</v>
      </c>
      <c r="AY207" s="7" t="s">
        <v>3</v>
      </c>
      <c r="BE207" s="8">
        <f>IF(N207="základní",J207,0)</f>
        <v>0</v>
      </c>
      <c r="BF207" s="8">
        <f>IF(N207="snížená",J207,0)</f>
        <v>0</v>
      </c>
      <c r="BG207" s="8">
        <f>IF(N207="zákl. přenesená",J207,0)</f>
        <v>0</v>
      </c>
      <c r="BH207" s="8">
        <f>IF(N207="sníž. přenesená",J207,0)</f>
        <v>0</v>
      </c>
      <c r="BI207" s="8">
        <f>IF(N207="nulová",J207,0)</f>
        <v>0</v>
      </c>
      <c r="BJ207" s="7" t="s">
        <v>2</v>
      </c>
      <c r="BK207" s="8">
        <f>ROUND(I207*H207,2)</f>
        <v>0</v>
      </c>
      <c r="BL207" s="7" t="s">
        <v>328</v>
      </c>
      <c r="BM207" s="6" t="s">
        <v>1034</v>
      </c>
    </row>
    <row r="208" spans="2:65" s="2" customFormat="1">
      <c r="B208" s="3"/>
      <c r="D208" s="107" t="s">
        <v>651</v>
      </c>
      <c r="F208" s="106" t="s">
        <v>1033</v>
      </c>
      <c r="I208" s="94"/>
      <c r="L208" s="3"/>
      <c r="M208" s="100"/>
      <c r="T208" s="99"/>
      <c r="AT208" s="7" t="s">
        <v>651</v>
      </c>
      <c r="AU208" s="7" t="s">
        <v>365</v>
      </c>
    </row>
    <row r="209" spans="2:65" s="2" customFormat="1" ht="68.25">
      <c r="B209" s="3"/>
      <c r="D209" s="96" t="s">
        <v>731</v>
      </c>
      <c r="F209" s="95" t="s">
        <v>1032</v>
      </c>
      <c r="I209" s="94"/>
      <c r="L209" s="3"/>
      <c r="M209" s="100"/>
      <c r="T209" s="99"/>
      <c r="AT209" s="7" t="s">
        <v>731</v>
      </c>
      <c r="AU209" s="7" t="s">
        <v>365</v>
      </c>
    </row>
    <row r="210" spans="2:65" s="2" customFormat="1" ht="24.2" customHeight="1">
      <c r="B210" s="3"/>
      <c r="C210" s="20" t="s">
        <v>191</v>
      </c>
      <c r="D210" s="20" t="s">
        <v>4</v>
      </c>
      <c r="E210" s="19" t="s">
        <v>1031</v>
      </c>
      <c r="F210" s="14" t="s">
        <v>1030</v>
      </c>
      <c r="G210" s="18" t="s">
        <v>21</v>
      </c>
      <c r="H210" s="17">
        <v>96</v>
      </c>
      <c r="I210" s="16"/>
      <c r="J210" s="15">
        <f>ROUND(I210*H210,2)</f>
        <v>0</v>
      </c>
      <c r="K210" s="14" t="s">
        <v>654</v>
      </c>
      <c r="L210" s="3"/>
      <c r="M210" s="24" t="s">
        <v>6</v>
      </c>
      <c r="N210" s="23" t="s">
        <v>5</v>
      </c>
      <c r="P210" s="22">
        <f>O210*H210</f>
        <v>0</v>
      </c>
      <c r="Q210" s="22">
        <v>0</v>
      </c>
      <c r="R210" s="22">
        <f>Q210*H210</f>
        <v>0</v>
      </c>
      <c r="S210" s="22">
        <v>0</v>
      </c>
      <c r="T210" s="21">
        <f>S210*H210</f>
        <v>0</v>
      </c>
      <c r="AR210" s="6" t="s">
        <v>328</v>
      </c>
      <c r="AT210" s="6" t="s">
        <v>4</v>
      </c>
      <c r="AU210" s="6" t="s">
        <v>365</v>
      </c>
      <c r="AY210" s="7" t="s">
        <v>3</v>
      </c>
      <c r="BE210" s="8">
        <f>IF(N210="základní",J210,0)</f>
        <v>0</v>
      </c>
      <c r="BF210" s="8">
        <f>IF(N210="snížená",J210,0)</f>
        <v>0</v>
      </c>
      <c r="BG210" s="8">
        <f>IF(N210="zákl. přenesená",J210,0)</f>
        <v>0</v>
      </c>
      <c r="BH210" s="8">
        <f>IF(N210="sníž. přenesená",J210,0)</f>
        <v>0</v>
      </c>
      <c r="BI210" s="8">
        <f>IF(N210="nulová",J210,0)</f>
        <v>0</v>
      </c>
      <c r="BJ210" s="7" t="s">
        <v>2</v>
      </c>
      <c r="BK210" s="8">
        <f>ROUND(I210*H210,2)</f>
        <v>0</v>
      </c>
      <c r="BL210" s="7" t="s">
        <v>328</v>
      </c>
      <c r="BM210" s="6" t="s">
        <v>1029</v>
      </c>
    </row>
    <row r="211" spans="2:65" s="2" customFormat="1">
      <c r="B211" s="3"/>
      <c r="D211" s="107" t="s">
        <v>651</v>
      </c>
      <c r="F211" s="106" t="s">
        <v>1028</v>
      </c>
      <c r="I211" s="94"/>
      <c r="L211" s="3"/>
      <c r="M211" s="100"/>
      <c r="T211" s="99"/>
      <c r="AT211" s="7" t="s">
        <v>651</v>
      </c>
      <c r="AU211" s="7" t="s">
        <v>365</v>
      </c>
    </row>
    <row r="212" spans="2:65" s="2" customFormat="1" ht="29.25">
      <c r="B212" s="3"/>
      <c r="D212" s="96" t="s">
        <v>731</v>
      </c>
      <c r="F212" s="95" t="s">
        <v>1019</v>
      </c>
      <c r="I212" s="94"/>
      <c r="L212" s="3"/>
      <c r="M212" s="100"/>
      <c r="T212" s="99"/>
      <c r="AT212" s="7" t="s">
        <v>731</v>
      </c>
      <c r="AU212" s="7" t="s">
        <v>365</v>
      </c>
    </row>
    <row r="213" spans="2:65" s="2" customFormat="1" ht="24.2" customHeight="1">
      <c r="B213" s="3"/>
      <c r="C213" s="20" t="s">
        <v>187</v>
      </c>
      <c r="D213" s="20" t="s">
        <v>4</v>
      </c>
      <c r="E213" s="19" t="s">
        <v>1027</v>
      </c>
      <c r="F213" s="14" t="s">
        <v>1026</v>
      </c>
      <c r="G213" s="18" t="s">
        <v>21</v>
      </c>
      <c r="H213" s="17">
        <v>3</v>
      </c>
      <c r="I213" s="16"/>
      <c r="J213" s="15">
        <f>ROUND(I213*H213,2)</f>
        <v>0</v>
      </c>
      <c r="K213" s="14" t="s">
        <v>654</v>
      </c>
      <c r="L213" s="3"/>
      <c r="M213" s="24" t="s">
        <v>6</v>
      </c>
      <c r="N213" s="23" t="s">
        <v>5</v>
      </c>
      <c r="P213" s="22">
        <f>O213*H213</f>
        <v>0</v>
      </c>
      <c r="Q213" s="22">
        <v>0</v>
      </c>
      <c r="R213" s="22">
        <f>Q213*H213</f>
        <v>0</v>
      </c>
      <c r="S213" s="22">
        <v>0</v>
      </c>
      <c r="T213" s="21">
        <f>S213*H213</f>
        <v>0</v>
      </c>
      <c r="AR213" s="6" t="s">
        <v>328</v>
      </c>
      <c r="AT213" s="6" t="s">
        <v>4</v>
      </c>
      <c r="AU213" s="6" t="s">
        <v>365</v>
      </c>
      <c r="AY213" s="7" t="s">
        <v>3</v>
      </c>
      <c r="BE213" s="8">
        <f>IF(N213="základní",J213,0)</f>
        <v>0</v>
      </c>
      <c r="BF213" s="8">
        <f>IF(N213="snížená",J213,0)</f>
        <v>0</v>
      </c>
      <c r="BG213" s="8">
        <f>IF(N213="zákl. přenesená",J213,0)</f>
        <v>0</v>
      </c>
      <c r="BH213" s="8">
        <f>IF(N213="sníž. přenesená",J213,0)</f>
        <v>0</v>
      </c>
      <c r="BI213" s="8">
        <f>IF(N213="nulová",J213,0)</f>
        <v>0</v>
      </c>
      <c r="BJ213" s="7" t="s">
        <v>2</v>
      </c>
      <c r="BK213" s="8">
        <f>ROUND(I213*H213,2)</f>
        <v>0</v>
      </c>
      <c r="BL213" s="7" t="s">
        <v>328</v>
      </c>
      <c r="BM213" s="6" t="s">
        <v>1025</v>
      </c>
    </row>
    <row r="214" spans="2:65" s="2" customFormat="1">
      <c r="B214" s="3"/>
      <c r="D214" s="107" t="s">
        <v>651</v>
      </c>
      <c r="F214" s="106" t="s">
        <v>1024</v>
      </c>
      <c r="I214" s="94"/>
      <c r="L214" s="3"/>
      <c r="M214" s="100"/>
      <c r="T214" s="99"/>
      <c r="AT214" s="7" t="s">
        <v>651</v>
      </c>
      <c r="AU214" s="7" t="s">
        <v>365</v>
      </c>
    </row>
    <row r="215" spans="2:65" s="2" customFormat="1" ht="29.25">
      <c r="B215" s="3"/>
      <c r="D215" s="96" t="s">
        <v>731</v>
      </c>
      <c r="F215" s="95" t="s">
        <v>1019</v>
      </c>
      <c r="I215" s="94"/>
      <c r="L215" s="3"/>
      <c r="M215" s="100"/>
      <c r="T215" s="99"/>
      <c r="AT215" s="7" t="s">
        <v>731</v>
      </c>
      <c r="AU215" s="7" t="s">
        <v>365</v>
      </c>
    </row>
    <row r="216" spans="2:65" s="2" customFormat="1" ht="24.2" customHeight="1">
      <c r="B216" s="3"/>
      <c r="C216" s="20" t="s">
        <v>183</v>
      </c>
      <c r="D216" s="20" t="s">
        <v>4</v>
      </c>
      <c r="E216" s="19" t="s">
        <v>1023</v>
      </c>
      <c r="F216" s="14" t="s">
        <v>1022</v>
      </c>
      <c r="G216" s="18" t="s">
        <v>21</v>
      </c>
      <c r="H216" s="17">
        <v>1</v>
      </c>
      <c r="I216" s="16"/>
      <c r="J216" s="15">
        <f>ROUND(I216*H216,2)</f>
        <v>0</v>
      </c>
      <c r="K216" s="14" t="s">
        <v>654</v>
      </c>
      <c r="L216" s="3"/>
      <c r="M216" s="24" t="s">
        <v>6</v>
      </c>
      <c r="N216" s="23" t="s">
        <v>5</v>
      </c>
      <c r="P216" s="22">
        <f>O216*H216</f>
        <v>0</v>
      </c>
      <c r="Q216" s="22">
        <v>0</v>
      </c>
      <c r="R216" s="22">
        <f>Q216*H216</f>
        <v>0</v>
      </c>
      <c r="S216" s="22">
        <v>0</v>
      </c>
      <c r="T216" s="21">
        <f>S216*H216</f>
        <v>0</v>
      </c>
      <c r="AR216" s="6" t="s">
        <v>328</v>
      </c>
      <c r="AT216" s="6" t="s">
        <v>4</v>
      </c>
      <c r="AU216" s="6" t="s">
        <v>365</v>
      </c>
      <c r="AY216" s="7" t="s">
        <v>3</v>
      </c>
      <c r="BE216" s="8">
        <f>IF(N216="základní",J216,0)</f>
        <v>0</v>
      </c>
      <c r="BF216" s="8">
        <f>IF(N216="snížená",J216,0)</f>
        <v>0</v>
      </c>
      <c r="BG216" s="8">
        <f>IF(N216="zákl. přenesená",J216,0)</f>
        <v>0</v>
      </c>
      <c r="BH216" s="8">
        <f>IF(N216="sníž. přenesená",J216,0)</f>
        <v>0</v>
      </c>
      <c r="BI216" s="8">
        <f>IF(N216="nulová",J216,0)</f>
        <v>0</v>
      </c>
      <c r="BJ216" s="7" t="s">
        <v>2</v>
      </c>
      <c r="BK216" s="8">
        <f>ROUND(I216*H216,2)</f>
        <v>0</v>
      </c>
      <c r="BL216" s="7" t="s">
        <v>328</v>
      </c>
      <c r="BM216" s="6" t="s">
        <v>1021</v>
      </c>
    </row>
    <row r="217" spans="2:65" s="2" customFormat="1">
      <c r="B217" s="3"/>
      <c r="D217" s="107" t="s">
        <v>651</v>
      </c>
      <c r="F217" s="106" t="s">
        <v>1020</v>
      </c>
      <c r="I217" s="94"/>
      <c r="L217" s="3"/>
      <c r="M217" s="100"/>
      <c r="T217" s="99"/>
      <c r="AT217" s="7" t="s">
        <v>651</v>
      </c>
      <c r="AU217" s="7" t="s">
        <v>365</v>
      </c>
    </row>
    <row r="218" spans="2:65" s="2" customFormat="1" ht="29.25">
      <c r="B218" s="3"/>
      <c r="D218" s="96" t="s">
        <v>731</v>
      </c>
      <c r="F218" s="95" t="s">
        <v>1019</v>
      </c>
      <c r="I218" s="94"/>
      <c r="L218" s="3"/>
      <c r="M218" s="100"/>
      <c r="T218" s="99"/>
      <c r="AT218" s="7" t="s">
        <v>731</v>
      </c>
      <c r="AU218" s="7" t="s">
        <v>365</v>
      </c>
    </row>
    <row r="219" spans="2:65" s="2" customFormat="1" ht="24.2" customHeight="1">
      <c r="B219" s="3"/>
      <c r="C219" s="20" t="s">
        <v>179</v>
      </c>
      <c r="D219" s="20" t="s">
        <v>4</v>
      </c>
      <c r="E219" s="19" t="s">
        <v>1018</v>
      </c>
      <c r="F219" s="14" t="s">
        <v>1017</v>
      </c>
      <c r="G219" s="18" t="s">
        <v>722</v>
      </c>
      <c r="H219" s="17">
        <v>12</v>
      </c>
      <c r="I219" s="16"/>
      <c r="J219" s="15">
        <f>ROUND(I219*H219,2)</f>
        <v>0</v>
      </c>
      <c r="K219" s="14" t="s">
        <v>654</v>
      </c>
      <c r="L219" s="3"/>
      <c r="M219" s="24" t="s">
        <v>6</v>
      </c>
      <c r="N219" s="23" t="s">
        <v>5</v>
      </c>
      <c r="P219" s="22">
        <f>O219*H219</f>
        <v>0</v>
      </c>
      <c r="Q219" s="22">
        <v>3.8999999999999999E-4</v>
      </c>
      <c r="R219" s="22">
        <f>Q219*H219</f>
        <v>4.6800000000000001E-3</v>
      </c>
      <c r="S219" s="22">
        <v>0</v>
      </c>
      <c r="T219" s="21">
        <f>S219*H219</f>
        <v>0</v>
      </c>
      <c r="AR219" s="6" t="s">
        <v>328</v>
      </c>
      <c r="AT219" s="6" t="s">
        <v>4</v>
      </c>
      <c r="AU219" s="6" t="s">
        <v>365</v>
      </c>
      <c r="AY219" s="7" t="s">
        <v>3</v>
      </c>
      <c r="BE219" s="8">
        <f>IF(N219="základní",J219,0)</f>
        <v>0</v>
      </c>
      <c r="BF219" s="8">
        <f>IF(N219="snížená",J219,0)</f>
        <v>0</v>
      </c>
      <c r="BG219" s="8">
        <f>IF(N219="zákl. přenesená",J219,0)</f>
        <v>0</v>
      </c>
      <c r="BH219" s="8">
        <f>IF(N219="sníž. přenesená",J219,0)</f>
        <v>0</v>
      </c>
      <c r="BI219" s="8">
        <f>IF(N219="nulová",J219,0)</f>
        <v>0</v>
      </c>
      <c r="BJ219" s="7" t="s">
        <v>2</v>
      </c>
      <c r="BK219" s="8">
        <f>ROUND(I219*H219,2)</f>
        <v>0</v>
      </c>
      <c r="BL219" s="7" t="s">
        <v>328</v>
      </c>
      <c r="BM219" s="6" t="s">
        <v>1016</v>
      </c>
    </row>
    <row r="220" spans="2:65" s="2" customFormat="1">
      <c r="B220" s="3"/>
      <c r="D220" s="107" t="s">
        <v>651</v>
      </c>
      <c r="F220" s="106" t="s">
        <v>1015</v>
      </c>
      <c r="I220" s="94"/>
      <c r="L220" s="3"/>
      <c r="M220" s="100"/>
      <c r="T220" s="99"/>
      <c r="AT220" s="7" t="s">
        <v>651</v>
      </c>
      <c r="AU220" s="7" t="s">
        <v>365</v>
      </c>
    </row>
    <row r="221" spans="2:65" s="2" customFormat="1" ht="24.2" customHeight="1">
      <c r="B221" s="3"/>
      <c r="C221" s="20" t="s">
        <v>176</v>
      </c>
      <c r="D221" s="20" t="s">
        <v>4</v>
      </c>
      <c r="E221" s="19" t="s">
        <v>1014</v>
      </c>
      <c r="F221" s="14" t="s">
        <v>1013</v>
      </c>
      <c r="G221" s="18" t="s">
        <v>722</v>
      </c>
      <c r="H221" s="17">
        <v>2</v>
      </c>
      <c r="I221" s="16"/>
      <c r="J221" s="15">
        <f>ROUND(I221*H221,2)</f>
        <v>0</v>
      </c>
      <c r="K221" s="14" t="s">
        <v>654</v>
      </c>
      <c r="L221" s="3"/>
      <c r="M221" s="24" t="s">
        <v>6</v>
      </c>
      <c r="N221" s="23" t="s">
        <v>5</v>
      </c>
      <c r="P221" s="22">
        <f>O221*H221</f>
        <v>0</v>
      </c>
      <c r="Q221" s="22">
        <v>5.4000000000000001E-4</v>
      </c>
      <c r="R221" s="22">
        <f>Q221*H221</f>
        <v>1.08E-3</v>
      </c>
      <c r="S221" s="22">
        <v>0</v>
      </c>
      <c r="T221" s="21">
        <f>S221*H221</f>
        <v>0</v>
      </c>
      <c r="AR221" s="6" t="s">
        <v>328</v>
      </c>
      <c r="AT221" s="6" t="s">
        <v>4</v>
      </c>
      <c r="AU221" s="6" t="s">
        <v>365</v>
      </c>
      <c r="AY221" s="7" t="s">
        <v>3</v>
      </c>
      <c r="BE221" s="8">
        <f>IF(N221="základní",J221,0)</f>
        <v>0</v>
      </c>
      <c r="BF221" s="8">
        <f>IF(N221="snížená",J221,0)</f>
        <v>0</v>
      </c>
      <c r="BG221" s="8">
        <f>IF(N221="zákl. přenesená",J221,0)</f>
        <v>0</v>
      </c>
      <c r="BH221" s="8">
        <f>IF(N221="sníž. přenesená",J221,0)</f>
        <v>0</v>
      </c>
      <c r="BI221" s="8">
        <f>IF(N221="nulová",J221,0)</f>
        <v>0</v>
      </c>
      <c r="BJ221" s="7" t="s">
        <v>2</v>
      </c>
      <c r="BK221" s="8">
        <f>ROUND(I221*H221,2)</f>
        <v>0</v>
      </c>
      <c r="BL221" s="7" t="s">
        <v>328</v>
      </c>
      <c r="BM221" s="6" t="s">
        <v>1012</v>
      </c>
    </row>
    <row r="222" spans="2:65" s="2" customFormat="1">
      <c r="B222" s="3"/>
      <c r="D222" s="107" t="s">
        <v>651</v>
      </c>
      <c r="F222" s="106" t="s">
        <v>1011</v>
      </c>
      <c r="I222" s="94"/>
      <c r="L222" s="3"/>
      <c r="M222" s="100"/>
      <c r="T222" s="99"/>
      <c r="AT222" s="7" t="s">
        <v>651</v>
      </c>
      <c r="AU222" s="7" t="s">
        <v>365</v>
      </c>
    </row>
    <row r="223" spans="2:65" s="2" customFormat="1" ht="24.2" customHeight="1">
      <c r="B223" s="3"/>
      <c r="C223" s="20" t="s">
        <v>173</v>
      </c>
      <c r="D223" s="20" t="s">
        <v>4</v>
      </c>
      <c r="E223" s="19" t="s">
        <v>1010</v>
      </c>
      <c r="F223" s="14" t="s">
        <v>1009</v>
      </c>
      <c r="G223" s="18" t="s">
        <v>722</v>
      </c>
      <c r="H223" s="17">
        <v>2</v>
      </c>
      <c r="I223" s="16"/>
      <c r="J223" s="15">
        <f>ROUND(I223*H223,2)</f>
        <v>0</v>
      </c>
      <c r="K223" s="14" t="s">
        <v>654</v>
      </c>
      <c r="L223" s="3"/>
      <c r="M223" s="24" t="s">
        <v>6</v>
      </c>
      <c r="N223" s="23" t="s">
        <v>5</v>
      </c>
      <c r="P223" s="22">
        <f>O223*H223</f>
        <v>0</v>
      </c>
      <c r="Q223" s="22">
        <v>6.9999999999999999E-4</v>
      </c>
      <c r="R223" s="22">
        <f>Q223*H223</f>
        <v>1.4E-3</v>
      </c>
      <c r="S223" s="22">
        <v>0</v>
      </c>
      <c r="T223" s="21">
        <f>S223*H223</f>
        <v>0</v>
      </c>
      <c r="AR223" s="6" t="s">
        <v>328</v>
      </c>
      <c r="AT223" s="6" t="s">
        <v>4</v>
      </c>
      <c r="AU223" s="6" t="s">
        <v>365</v>
      </c>
      <c r="AY223" s="7" t="s">
        <v>3</v>
      </c>
      <c r="BE223" s="8">
        <f>IF(N223="základní",J223,0)</f>
        <v>0</v>
      </c>
      <c r="BF223" s="8">
        <f>IF(N223="snížená",J223,0)</f>
        <v>0</v>
      </c>
      <c r="BG223" s="8">
        <f>IF(N223="zákl. přenesená",J223,0)</f>
        <v>0</v>
      </c>
      <c r="BH223" s="8">
        <f>IF(N223="sníž. přenesená",J223,0)</f>
        <v>0</v>
      </c>
      <c r="BI223" s="8">
        <f>IF(N223="nulová",J223,0)</f>
        <v>0</v>
      </c>
      <c r="BJ223" s="7" t="s">
        <v>2</v>
      </c>
      <c r="BK223" s="8">
        <f>ROUND(I223*H223,2)</f>
        <v>0</v>
      </c>
      <c r="BL223" s="7" t="s">
        <v>328</v>
      </c>
      <c r="BM223" s="6" t="s">
        <v>1008</v>
      </c>
    </row>
    <row r="224" spans="2:65" s="2" customFormat="1">
      <c r="B224" s="3"/>
      <c r="D224" s="107" t="s">
        <v>651</v>
      </c>
      <c r="F224" s="106" t="s">
        <v>1007</v>
      </c>
      <c r="I224" s="94"/>
      <c r="L224" s="3"/>
      <c r="M224" s="100"/>
      <c r="T224" s="99"/>
      <c r="AT224" s="7" t="s">
        <v>651</v>
      </c>
      <c r="AU224" s="7" t="s">
        <v>365</v>
      </c>
    </row>
    <row r="225" spans="2:65" s="2" customFormat="1" ht="24.2" customHeight="1">
      <c r="B225" s="3"/>
      <c r="C225" s="20" t="s">
        <v>169</v>
      </c>
      <c r="D225" s="20" t="s">
        <v>4</v>
      </c>
      <c r="E225" s="19" t="s">
        <v>1006</v>
      </c>
      <c r="F225" s="14" t="s">
        <v>1005</v>
      </c>
      <c r="G225" s="18" t="s">
        <v>722</v>
      </c>
      <c r="H225" s="17">
        <v>2</v>
      </c>
      <c r="I225" s="16"/>
      <c r="J225" s="15">
        <f>ROUND(I225*H225,2)</f>
        <v>0</v>
      </c>
      <c r="K225" s="14" t="s">
        <v>7</v>
      </c>
      <c r="L225" s="3"/>
      <c r="M225" s="24" t="s">
        <v>6</v>
      </c>
      <c r="N225" s="23" t="s">
        <v>5</v>
      </c>
      <c r="P225" s="22">
        <f>O225*H225</f>
        <v>0</v>
      </c>
      <c r="Q225" s="22">
        <v>5.4000000000000001E-4</v>
      </c>
      <c r="R225" s="22">
        <f>Q225*H225</f>
        <v>1.08E-3</v>
      </c>
      <c r="S225" s="22">
        <v>0</v>
      </c>
      <c r="T225" s="21">
        <f>S225*H225</f>
        <v>0</v>
      </c>
      <c r="AR225" s="6" t="s">
        <v>328</v>
      </c>
      <c r="AT225" s="6" t="s">
        <v>4</v>
      </c>
      <c r="AU225" s="6" t="s">
        <v>365</v>
      </c>
      <c r="AY225" s="7" t="s">
        <v>3</v>
      </c>
      <c r="BE225" s="8">
        <f>IF(N225="základní",J225,0)</f>
        <v>0</v>
      </c>
      <c r="BF225" s="8">
        <f>IF(N225="snížená",J225,0)</f>
        <v>0</v>
      </c>
      <c r="BG225" s="8">
        <f>IF(N225="zákl. přenesená",J225,0)</f>
        <v>0</v>
      </c>
      <c r="BH225" s="8">
        <f>IF(N225="sníž. přenesená",J225,0)</f>
        <v>0</v>
      </c>
      <c r="BI225" s="8">
        <f>IF(N225="nulová",J225,0)</f>
        <v>0</v>
      </c>
      <c r="BJ225" s="7" t="s">
        <v>2</v>
      </c>
      <c r="BK225" s="8">
        <f>ROUND(I225*H225,2)</f>
        <v>0</v>
      </c>
      <c r="BL225" s="7" t="s">
        <v>328</v>
      </c>
      <c r="BM225" s="6" t="s">
        <v>1004</v>
      </c>
    </row>
    <row r="226" spans="2:65" s="108" customFormat="1">
      <c r="B226" s="112"/>
      <c r="D226" s="96" t="s">
        <v>704</v>
      </c>
      <c r="E226" s="109" t="s">
        <v>6</v>
      </c>
      <c r="F226" s="115" t="s">
        <v>1003</v>
      </c>
      <c r="H226" s="114">
        <v>2</v>
      </c>
      <c r="I226" s="113"/>
      <c r="L226" s="112"/>
      <c r="M226" s="111"/>
      <c r="T226" s="110"/>
      <c r="AT226" s="109" t="s">
        <v>704</v>
      </c>
      <c r="AU226" s="109" t="s">
        <v>365</v>
      </c>
      <c r="AV226" s="108" t="s">
        <v>365</v>
      </c>
      <c r="AW226" s="108" t="s">
        <v>703</v>
      </c>
      <c r="AX226" s="108" t="s">
        <v>2</v>
      </c>
      <c r="AY226" s="109" t="s">
        <v>3</v>
      </c>
    </row>
    <row r="227" spans="2:65" s="2" customFormat="1" ht="24.2" customHeight="1">
      <c r="B227" s="3"/>
      <c r="C227" s="20" t="s">
        <v>166</v>
      </c>
      <c r="D227" s="20" t="s">
        <v>4</v>
      </c>
      <c r="E227" s="19" t="s">
        <v>1002</v>
      </c>
      <c r="F227" s="14" t="s">
        <v>1001</v>
      </c>
      <c r="G227" s="18" t="s">
        <v>722</v>
      </c>
      <c r="H227" s="17">
        <v>2</v>
      </c>
      <c r="I227" s="16"/>
      <c r="J227" s="15">
        <f>ROUND(I227*H227,2)</f>
        <v>0</v>
      </c>
      <c r="K227" s="14" t="s">
        <v>7</v>
      </c>
      <c r="L227" s="3"/>
      <c r="M227" s="24" t="s">
        <v>6</v>
      </c>
      <c r="N227" s="23" t="s">
        <v>5</v>
      </c>
      <c r="P227" s="22">
        <f>O227*H227</f>
        <v>0</v>
      </c>
      <c r="Q227" s="22">
        <v>8.0000000000000004E-4</v>
      </c>
      <c r="R227" s="22">
        <f>Q227*H227</f>
        <v>1.6000000000000001E-3</v>
      </c>
      <c r="S227" s="22">
        <v>0</v>
      </c>
      <c r="T227" s="21">
        <f>S227*H227</f>
        <v>0</v>
      </c>
      <c r="AR227" s="6" t="s">
        <v>328</v>
      </c>
      <c r="AT227" s="6" t="s">
        <v>4</v>
      </c>
      <c r="AU227" s="6" t="s">
        <v>365</v>
      </c>
      <c r="AY227" s="7" t="s">
        <v>3</v>
      </c>
      <c r="BE227" s="8">
        <f>IF(N227="základní",J227,0)</f>
        <v>0</v>
      </c>
      <c r="BF227" s="8">
        <f>IF(N227="snížená",J227,0)</f>
        <v>0</v>
      </c>
      <c r="BG227" s="8">
        <f>IF(N227="zákl. přenesená",J227,0)</f>
        <v>0</v>
      </c>
      <c r="BH227" s="8">
        <f>IF(N227="sníž. přenesená",J227,0)</f>
        <v>0</v>
      </c>
      <c r="BI227" s="8">
        <f>IF(N227="nulová",J227,0)</f>
        <v>0</v>
      </c>
      <c r="BJ227" s="7" t="s">
        <v>2</v>
      </c>
      <c r="BK227" s="8">
        <f>ROUND(I227*H227,2)</f>
        <v>0</v>
      </c>
      <c r="BL227" s="7" t="s">
        <v>328</v>
      </c>
      <c r="BM227" s="6" t="s">
        <v>1000</v>
      </c>
    </row>
    <row r="228" spans="2:65" s="108" customFormat="1">
      <c r="B228" s="112"/>
      <c r="D228" s="96" t="s">
        <v>704</v>
      </c>
      <c r="E228" s="109" t="s">
        <v>6</v>
      </c>
      <c r="F228" s="115" t="s">
        <v>999</v>
      </c>
      <c r="H228" s="114">
        <v>2</v>
      </c>
      <c r="I228" s="113"/>
      <c r="L228" s="112"/>
      <c r="M228" s="111"/>
      <c r="T228" s="110"/>
      <c r="AT228" s="109" t="s">
        <v>704</v>
      </c>
      <c r="AU228" s="109" t="s">
        <v>365</v>
      </c>
      <c r="AV228" s="108" t="s">
        <v>365</v>
      </c>
      <c r="AW228" s="108" t="s">
        <v>703</v>
      </c>
      <c r="AX228" s="108" t="s">
        <v>2</v>
      </c>
      <c r="AY228" s="109" t="s">
        <v>3</v>
      </c>
    </row>
    <row r="229" spans="2:65" s="2" customFormat="1" ht="24.2" customHeight="1">
      <c r="B229" s="3"/>
      <c r="C229" s="20" t="s">
        <v>163</v>
      </c>
      <c r="D229" s="20" t="s">
        <v>4</v>
      </c>
      <c r="E229" s="19" t="s">
        <v>998</v>
      </c>
      <c r="F229" s="14" t="s">
        <v>997</v>
      </c>
      <c r="G229" s="18" t="s">
        <v>722</v>
      </c>
      <c r="H229" s="17">
        <v>2</v>
      </c>
      <c r="I229" s="16"/>
      <c r="J229" s="15">
        <f>ROUND(I229*H229,2)</f>
        <v>0</v>
      </c>
      <c r="K229" s="14" t="s">
        <v>7</v>
      </c>
      <c r="L229" s="3"/>
      <c r="M229" s="24" t="s">
        <v>6</v>
      </c>
      <c r="N229" s="23" t="s">
        <v>5</v>
      </c>
      <c r="P229" s="22">
        <f>O229*H229</f>
        <v>0</v>
      </c>
      <c r="Q229" s="22">
        <v>9.2000000000000003E-4</v>
      </c>
      <c r="R229" s="22">
        <f>Q229*H229</f>
        <v>1.8400000000000001E-3</v>
      </c>
      <c r="S229" s="22">
        <v>0</v>
      </c>
      <c r="T229" s="21">
        <f>S229*H229</f>
        <v>0</v>
      </c>
      <c r="AR229" s="6" t="s">
        <v>328</v>
      </c>
      <c r="AT229" s="6" t="s">
        <v>4</v>
      </c>
      <c r="AU229" s="6" t="s">
        <v>365</v>
      </c>
      <c r="AY229" s="7" t="s">
        <v>3</v>
      </c>
      <c r="BE229" s="8">
        <f>IF(N229="základní",J229,0)</f>
        <v>0</v>
      </c>
      <c r="BF229" s="8">
        <f>IF(N229="snížená",J229,0)</f>
        <v>0</v>
      </c>
      <c r="BG229" s="8">
        <f>IF(N229="zákl. přenesená",J229,0)</f>
        <v>0</v>
      </c>
      <c r="BH229" s="8">
        <f>IF(N229="sníž. přenesená",J229,0)</f>
        <v>0</v>
      </c>
      <c r="BI229" s="8">
        <f>IF(N229="nulová",J229,0)</f>
        <v>0</v>
      </c>
      <c r="BJ229" s="7" t="s">
        <v>2</v>
      </c>
      <c r="BK229" s="8">
        <f>ROUND(I229*H229,2)</f>
        <v>0</v>
      </c>
      <c r="BL229" s="7" t="s">
        <v>328</v>
      </c>
      <c r="BM229" s="6" t="s">
        <v>996</v>
      </c>
    </row>
    <row r="230" spans="2:65" s="108" customFormat="1">
      <c r="B230" s="112"/>
      <c r="D230" s="96" t="s">
        <v>704</v>
      </c>
      <c r="E230" s="109" t="s">
        <v>6</v>
      </c>
      <c r="F230" s="115" t="s">
        <v>995</v>
      </c>
      <c r="H230" s="114">
        <v>2</v>
      </c>
      <c r="I230" s="113"/>
      <c r="L230" s="112"/>
      <c r="M230" s="111"/>
      <c r="T230" s="110"/>
      <c r="AT230" s="109" t="s">
        <v>704</v>
      </c>
      <c r="AU230" s="109" t="s">
        <v>365</v>
      </c>
      <c r="AV230" s="108" t="s">
        <v>365</v>
      </c>
      <c r="AW230" s="108" t="s">
        <v>703</v>
      </c>
      <c r="AX230" s="108" t="s">
        <v>2</v>
      </c>
      <c r="AY230" s="109" t="s">
        <v>3</v>
      </c>
    </row>
    <row r="231" spans="2:65" s="2" customFormat="1" ht="24.2" customHeight="1">
      <c r="B231" s="3"/>
      <c r="C231" s="20" t="s">
        <v>159</v>
      </c>
      <c r="D231" s="20" t="s">
        <v>4</v>
      </c>
      <c r="E231" s="19" t="s">
        <v>994</v>
      </c>
      <c r="F231" s="14" t="s">
        <v>993</v>
      </c>
      <c r="G231" s="18" t="s">
        <v>722</v>
      </c>
      <c r="H231" s="17">
        <v>6</v>
      </c>
      <c r="I231" s="16"/>
      <c r="J231" s="15">
        <f>ROUND(I231*H231,2)</f>
        <v>0</v>
      </c>
      <c r="K231" s="14" t="s">
        <v>7</v>
      </c>
      <c r="L231" s="3"/>
      <c r="M231" s="24" t="s">
        <v>6</v>
      </c>
      <c r="N231" s="23" t="s">
        <v>5</v>
      </c>
      <c r="P231" s="22">
        <f>O231*H231</f>
        <v>0</v>
      </c>
      <c r="Q231" s="22">
        <v>1.1199999999999999E-3</v>
      </c>
      <c r="R231" s="22">
        <f>Q231*H231</f>
        <v>6.7199999999999994E-3</v>
      </c>
      <c r="S231" s="22">
        <v>0</v>
      </c>
      <c r="T231" s="21">
        <f>S231*H231</f>
        <v>0</v>
      </c>
      <c r="AR231" s="6" t="s">
        <v>328</v>
      </c>
      <c r="AT231" s="6" t="s">
        <v>4</v>
      </c>
      <c r="AU231" s="6" t="s">
        <v>365</v>
      </c>
      <c r="AY231" s="7" t="s">
        <v>3</v>
      </c>
      <c r="BE231" s="8">
        <f>IF(N231="základní",J231,0)</f>
        <v>0</v>
      </c>
      <c r="BF231" s="8">
        <f>IF(N231="snížená",J231,0)</f>
        <v>0</v>
      </c>
      <c r="BG231" s="8">
        <f>IF(N231="zákl. přenesená",J231,0)</f>
        <v>0</v>
      </c>
      <c r="BH231" s="8">
        <f>IF(N231="sníž. přenesená",J231,0)</f>
        <v>0</v>
      </c>
      <c r="BI231" s="8">
        <f>IF(N231="nulová",J231,0)</f>
        <v>0</v>
      </c>
      <c r="BJ231" s="7" t="s">
        <v>2</v>
      </c>
      <c r="BK231" s="8">
        <f>ROUND(I231*H231,2)</f>
        <v>0</v>
      </c>
      <c r="BL231" s="7" t="s">
        <v>328</v>
      </c>
      <c r="BM231" s="6" t="s">
        <v>992</v>
      </c>
    </row>
    <row r="232" spans="2:65" s="108" customFormat="1">
      <c r="B232" s="112"/>
      <c r="D232" s="96" t="s">
        <v>704</v>
      </c>
      <c r="E232" s="109" t="s">
        <v>6</v>
      </c>
      <c r="F232" s="115" t="s">
        <v>991</v>
      </c>
      <c r="H232" s="114">
        <v>6</v>
      </c>
      <c r="I232" s="113"/>
      <c r="L232" s="112"/>
      <c r="M232" s="111"/>
      <c r="T232" s="110"/>
      <c r="AT232" s="109" t="s">
        <v>704</v>
      </c>
      <c r="AU232" s="109" t="s">
        <v>365</v>
      </c>
      <c r="AV232" s="108" t="s">
        <v>365</v>
      </c>
      <c r="AW232" s="108" t="s">
        <v>703</v>
      </c>
      <c r="AX232" s="108" t="s">
        <v>2</v>
      </c>
      <c r="AY232" s="109" t="s">
        <v>3</v>
      </c>
    </row>
    <row r="233" spans="2:65" s="2" customFormat="1" ht="16.5" customHeight="1">
      <c r="B233" s="3"/>
      <c r="C233" s="20" t="s">
        <v>155</v>
      </c>
      <c r="D233" s="20" t="s">
        <v>4</v>
      </c>
      <c r="E233" s="19" t="s">
        <v>990</v>
      </c>
      <c r="F233" s="14" t="s">
        <v>989</v>
      </c>
      <c r="G233" s="18" t="s">
        <v>722</v>
      </c>
      <c r="H233" s="17">
        <v>2</v>
      </c>
      <c r="I233" s="16"/>
      <c r="J233" s="15">
        <f>ROUND(I233*H233,2)</f>
        <v>0</v>
      </c>
      <c r="K233" s="14" t="s">
        <v>7</v>
      </c>
      <c r="L233" s="3"/>
      <c r="M233" s="24" t="s">
        <v>6</v>
      </c>
      <c r="N233" s="23" t="s">
        <v>5</v>
      </c>
      <c r="P233" s="22">
        <f>O233*H233</f>
        <v>0</v>
      </c>
      <c r="Q233" s="22">
        <v>5.0000000000000001E-4</v>
      </c>
      <c r="R233" s="22">
        <f>Q233*H233</f>
        <v>1E-3</v>
      </c>
      <c r="S233" s="22">
        <v>0</v>
      </c>
      <c r="T233" s="21">
        <f>S233*H233</f>
        <v>0</v>
      </c>
      <c r="AR233" s="6" t="s">
        <v>328</v>
      </c>
      <c r="AT233" s="6" t="s">
        <v>4</v>
      </c>
      <c r="AU233" s="6" t="s">
        <v>365</v>
      </c>
      <c r="AY233" s="7" t="s">
        <v>3</v>
      </c>
      <c r="BE233" s="8">
        <f>IF(N233="základní",J233,0)</f>
        <v>0</v>
      </c>
      <c r="BF233" s="8">
        <f>IF(N233="snížená",J233,0)</f>
        <v>0</v>
      </c>
      <c r="BG233" s="8">
        <f>IF(N233="zákl. přenesená",J233,0)</f>
        <v>0</v>
      </c>
      <c r="BH233" s="8">
        <f>IF(N233="sníž. přenesená",J233,0)</f>
        <v>0</v>
      </c>
      <c r="BI233" s="8">
        <f>IF(N233="nulová",J233,0)</f>
        <v>0</v>
      </c>
      <c r="BJ233" s="7" t="s">
        <v>2</v>
      </c>
      <c r="BK233" s="8">
        <f>ROUND(I233*H233,2)</f>
        <v>0</v>
      </c>
      <c r="BL233" s="7" t="s">
        <v>328</v>
      </c>
      <c r="BM233" s="6" t="s">
        <v>988</v>
      </c>
    </row>
    <row r="234" spans="2:65" s="108" customFormat="1">
      <c r="B234" s="112"/>
      <c r="D234" s="96" t="s">
        <v>704</v>
      </c>
      <c r="E234" s="109" t="s">
        <v>6</v>
      </c>
      <c r="F234" s="115" t="s">
        <v>987</v>
      </c>
      <c r="H234" s="114">
        <v>2</v>
      </c>
      <c r="I234" s="113"/>
      <c r="L234" s="112"/>
      <c r="M234" s="111"/>
      <c r="T234" s="110"/>
      <c r="AT234" s="109" t="s">
        <v>704</v>
      </c>
      <c r="AU234" s="109" t="s">
        <v>365</v>
      </c>
      <c r="AV234" s="108" t="s">
        <v>365</v>
      </c>
      <c r="AW234" s="108" t="s">
        <v>703</v>
      </c>
      <c r="AX234" s="108" t="s">
        <v>2</v>
      </c>
      <c r="AY234" s="109" t="s">
        <v>3</v>
      </c>
    </row>
    <row r="235" spans="2:65" s="2" customFormat="1" ht="24.2" customHeight="1">
      <c r="B235" s="3"/>
      <c r="C235" s="20" t="s">
        <v>151</v>
      </c>
      <c r="D235" s="20" t="s">
        <v>4</v>
      </c>
      <c r="E235" s="19" t="s">
        <v>986</v>
      </c>
      <c r="F235" s="14" t="s">
        <v>985</v>
      </c>
      <c r="G235" s="18" t="s">
        <v>735</v>
      </c>
      <c r="H235" s="17">
        <v>0.30199999999999999</v>
      </c>
      <c r="I235" s="16"/>
      <c r="J235" s="15">
        <f>ROUND(I235*H235,2)</f>
        <v>0</v>
      </c>
      <c r="K235" s="14" t="s">
        <v>654</v>
      </c>
      <c r="L235" s="3"/>
      <c r="M235" s="24" t="s">
        <v>6</v>
      </c>
      <c r="N235" s="23" t="s">
        <v>5</v>
      </c>
      <c r="P235" s="22">
        <f>O235*H235</f>
        <v>0</v>
      </c>
      <c r="Q235" s="22">
        <v>0</v>
      </c>
      <c r="R235" s="22">
        <f>Q235*H235</f>
        <v>0</v>
      </c>
      <c r="S235" s="22">
        <v>0</v>
      </c>
      <c r="T235" s="21">
        <f>S235*H235</f>
        <v>0</v>
      </c>
      <c r="AR235" s="6" t="s">
        <v>328</v>
      </c>
      <c r="AT235" s="6" t="s">
        <v>4</v>
      </c>
      <c r="AU235" s="6" t="s">
        <v>365</v>
      </c>
      <c r="AY235" s="7" t="s">
        <v>3</v>
      </c>
      <c r="BE235" s="8">
        <f>IF(N235="základní",J235,0)</f>
        <v>0</v>
      </c>
      <c r="BF235" s="8">
        <f>IF(N235="snížená",J235,0)</f>
        <v>0</v>
      </c>
      <c r="BG235" s="8">
        <f>IF(N235="zákl. přenesená",J235,0)</f>
        <v>0</v>
      </c>
      <c r="BH235" s="8">
        <f>IF(N235="sníž. přenesená",J235,0)</f>
        <v>0</v>
      </c>
      <c r="BI235" s="8">
        <f>IF(N235="nulová",J235,0)</f>
        <v>0</v>
      </c>
      <c r="BJ235" s="7" t="s">
        <v>2</v>
      </c>
      <c r="BK235" s="8">
        <f>ROUND(I235*H235,2)</f>
        <v>0</v>
      </c>
      <c r="BL235" s="7" t="s">
        <v>328</v>
      </c>
      <c r="BM235" s="6" t="s">
        <v>984</v>
      </c>
    </row>
    <row r="236" spans="2:65" s="2" customFormat="1">
      <c r="B236" s="3"/>
      <c r="D236" s="107" t="s">
        <v>651</v>
      </c>
      <c r="F236" s="106" t="s">
        <v>983</v>
      </c>
      <c r="I236" s="94"/>
      <c r="L236" s="3"/>
      <c r="M236" s="100"/>
      <c r="T236" s="99"/>
      <c r="AT236" s="7" t="s">
        <v>651</v>
      </c>
      <c r="AU236" s="7" t="s">
        <v>365</v>
      </c>
    </row>
    <row r="237" spans="2:65" s="2" customFormat="1" ht="78">
      <c r="B237" s="3"/>
      <c r="D237" s="96" t="s">
        <v>731</v>
      </c>
      <c r="F237" s="95" t="s">
        <v>978</v>
      </c>
      <c r="I237" s="94"/>
      <c r="L237" s="3"/>
      <c r="M237" s="100"/>
      <c r="T237" s="99"/>
      <c r="AT237" s="7" t="s">
        <v>731</v>
      </c>
      <c r="AU237" s="7" t="s">
        <v>365</v>
      </c>
    </row>
    <row r="238" spans="2:65" s="2" customFormat="1" ht="24.2" customHeight="1">
      <c r="B238" s="3"/>
      <c r="C238" s="20" t="s">
        <v>147</v>
      </c>
      <c r="D238" s="20" t="s">
        <v>4</v>
      </c>
      <c r="E238" s="19" t="s">
        <v>982</v>
      </c>
      <c r="F238" s="14" t="s">
        <v>981</v>
      </c>
      <c r="G238" s="18" t="s">
        <v>735</v>
      </c>
      <c r="H238" s="17">
        <v>0.30199999999999999</v>
      </c>
      <c r="I238" s="16"/>
      <c r="J238" s="15">
        <f>ROUND(I238*H238,2)</f>
        <v>0</v>
      </c>
      <c r="K238" s="14" t="s">
        <v>654</v>
      </c>
      <c r="L238" s="3"/>
      <c r="M238" s="24" t="s">
        <v>6</v>
      </c>
      <c r="N238" s="23" t="s">
        <v>5</v>
      </c>
      <c r="P238" s="22">
        <f>O238*H238</f>
        <v>0</v>
      </c>
      <c r="Q238" s="22">
        <v>0</v>
      </c>
      <c r="R238" s="22">
        <f>Q238*H238</f>
        <v>0</v>
      </c>
      <c r="S238" s="22">
        <v>0</v>
      </c>
      <c r="T238" s="21">
        <f>S238*H238</f>
        <v>0</v>
      </c>
      <c r="AR238" s="6" t="s">
        <v>328</v>
      </c>
      <c r="AT238" s="6" t="s">
        <v>4</v>
      </c>
      <c r="AU238" s="6" t="s">
        <v>365</v>
      </c>
      <c r="AY238" s="7" t="s">
        <v>3</v>
      </c>
      <c r="BE238" s="8">
        <f>IF(N238="základní",J238,0)</f>
        <v>0</v>
      </c>
      <c r="BF238" s="8">
        <f>IF(N238="snížená",J238,0)</f>
        <v>0</v>
      </c>
      <c r="BG238" s="8">
        <f>IF(N238="zákl. přenesená",J238,0)</f>
        <v>0</v>
      </c>
      <c r="BH238" s="8">
        <f>IF(N238="sníž. přenesená",J238,0)</f>
        <v>0</v>
      </c>
      <c r="BI238" s="8">
        <f>IF(N238="nulová",J238,0)</f>
        <v>0</v>
      </c>
      <c r="BJ238" s="7" t="s">
        <v>2</v>
      </c>
      <c r="BK238" s="8">
        <f>ROUND(I238*H238,2)</f>
        <v>0</v>
      </c>
      <c r="BL238" s="7" t="s">
        <v>328</v>
      </c>
      <c r="BM238" s="6" t="s">
        <v>980</v>
      </c>
    </row>
    <row r="239" spans="2:65" s="2" customFormat="1">
      <c r="B239" s="3"/>
      <c r="D239" s="107" t="s">
        <v>651</v>
      </c>
      <c r="F239" s="106" t="s">
        <v>979</v>
      </c>
      <c r="I239" s="94"/>
      <c r="L239" s="3"/>
      <c r="M239" s="100"/>
      <c r="T239" s="99"/>
      <c r="AT239" s="7" t="s">
        <v>651</v>
      </c>
      <c r="AU239" s="7" t="s">
        <v>365</v>
      </c>
    </row>
    <row r="240" spans="2:65" s="2" customFormat="1" ht="78">
      <c r="B240" s="3"/>
      <c r="D240" s="96" t="s">
        <v>731</v>
      </c>
      <c r="F240" s="95" t="s">
        <v>978</v>
      </c>
      <c r="I240" s="94"/>
      <c r="L240" s="3"/>
      <c r="M240" s="100"/>
      <c r="T240" s="99"/>
      <c r="AT240" s="7" t="s">
        <v>731</v>
      </c>
      <c r="AU240" s="7" t="s">
        <v>365</v>
      </c>
    </row>
    <row r="241" spans="2:65" s="2" customFormat="1" ht="16.5" customHeight="1">
      <c r="B241" s="3"/>
      <c r="C241" s="20" t="s">
        <v>144</v>
      </c>
      <c r="D241" s="20" t="s">
        <v>4</v>
      </c>
      <c r="E241" s="19" t="s">
        <v>977</v>
      </c>
      <c r="F241" s="14" t="s">
        <v>976</v>
      </c>
      <c r="G241" s="18" t="s">
        <v>21</v>
      </c>
      <c r="H241" s="17">
        <v>5</v>
      </c>
      <c r="I241" s="16"/>
      <c r="J241" s="15">
        <f>ROUND(I241*H241,2)</f>
        <v>0</v>
      </c>
      <c r="K241" s="14" t="s">
        <v>654</v>
      </c>
      <c r="L241" s="3"/>
      <c r="M241" s="24" t="s">
        <v>6</v>
      </c>
      <c r="N241" s="23" t="s">
        <v>5</v>
      </c>
      <c r="P241" s="22">
        <f>O241*H241</f>
        <v>0</v>
      </c>
      <c r="Q241" s="22">
        <v>2.0000000000000002E-5</v>
      </c>
      <c r="R241" s="22">
        <f>Q241*H241</f>
        <v>1E-4</v>
      </c>
      <c r="S241" s="22">
        <v>1E-3</v>
      </c>
      <c r="T241" s="21">
        <f>S241*H241</f>
        <v>5.0000000000000001E-3</v>
      </c>
      <c r="AR241" s="6" t="s">
        <v>328</v>
      </c>
      <c r="AT241" s="6" t="s">
        <v>4</v>
      </c>
      <c r="AU241" s="6" t="s">
        <v>365</v>
      </c>
      <c r="AY241" s="7" t="s">
        <v>3</v>
      </c>
      <c r="BE241" s="8">
        <f>IF(N241="základní",J241,0)</f>
        <v>0</v>
      </c>
      <c r="BF241" s="8">
        <f>IF(N241="snížená",J241,0)</f>
        <v>0</v>
      </c>
      <c r="BG241" s="8">
        <f>IF(N241="zákl. přenesená",J241,0)</f>
        <v>0</v>
      </c>
      <c r="BH241" s="8">
        <f>IF(N241="sníž. přenesená",J241,0)</f>
        <v>0</v>
      </c>
      <c r="BI241" s="8">
        <f>IF(N241="nulová",J241,0)</f>
        <v>0</v>
      </c>
      <c r="BJ241" s="7" t="s">
        <v>2</v>
      </c>
      <c r="BK241" s="8">
        <f>ROUND(I241*H241,2)</f>
        <v>0</v>
      </c>
      <c r="BL241" s="7" t="s">
        <v>328</v>
      </c>
      <c r="BM241" s="6" t="s">
        <v>975</v>
      </c>
    </row>
    <row r="242" spans="2:65" s="2" customFormat="1">
      <c r="B242" s="3"/>
      <c r="D242" s="107" t="s">
        <v>651</v>
      </c>
      <c r="F242" s="106" t="s">
        <v>974</v>
      </c>
      <c r="I242" s="94"/>
      <c r="L242" s="3"/>
      <c r="M242" s="100"/>
      <c r="T242" s="99"/>
      <c r="AT242" s="7" t="s">
        <v>651</v>
      </c>
      <c r="AU242" s="7" t="s">
        <v>365</v>
      </c>
    </row>
    <row r="243" spans="2:65" s="2" customFormat="1" ht="16.5" customHeight="1">
      <c r="B243" s="3"/>
      <c r="C243" s="20" t="s">
        <v>141</v>
      </c>
      <c r="D243" s="20" t="s">
        <v>4</v>
      </c>
      <c r="E243" s="19" t="s">
        <v>963</v>
      </c>
      <c r="F243" s="14" t="s">
        <v>962</v>
      </c>
      <c r="G243" s="18" t="s">
        <v>21</v>
      </c>
      <c r="H243" s="17">
        <v>14</v>
      </c>
      <c r="I243" s="16"/>
      <c r="J243" s="15">
        <f>ROUND(I243*H243,2)</f>
        <v>0</v>
      </c>
      <c r="K243" s="14" t="s">
        <v>654</v>
      </c>
      <c r="L243" s="3"/>
      <c r="M243" s="24" t="s">
        <v>6</v>
      </c>
      <c r="N243" s="23" t="s">
        <v>5</v>
      </c>
      <c r="P243" s="22">
        <f>O243*H243</f>
        <v>0</v>
      </c>
      <c r="Q243" s="22">
        <v>5.0000000000000002E-5</v>
      </c>
      <c r="R243" s="22">
        <f>Q243*H243</f>
        <v>6.9999999999999999E-4</v>
      </c>
      <c r="S243" s="22">
        <v>5.3200000000000001E-3</v>
      </c>
      <c r="T243" s="21">
        <f>S243*H243</f>
        <v>7.4480000000000005E-2</v>
      </c>
      <c r="AR243" s="6" t="s">
        <v>328</v>
      </c>
      <c r="AT243" s="6" t="s">
        <v>4</v>
      </c>
      <c r="AU243" s="6" t="s">
        <v>365</v>
      </c>
      <c r="AY243" s="7" t="s">
        <v>3</v>
      </c>
      <c r="BE243" s="8">
        <f>IF(N243="základní",J243,0)</f>
        <v>0</v>
      </c>
      <c r="BF243" s="8">
        <f>IF(N243="snížená",J243,0)</f>
        <v>0</v>
      </c>
      <c r="BG243" s="8">
        <f>IF(N243="zákl. přenesená",J243,0)</f>
        <v>0</v>
      </c>
      <c r="BH243" s="8">
        <f>IF(N243="sníž. přenesená",J243,0)</f>
        <v>0</v>
      </c>
      <c r="BI243" s="8">
        <f>IF(N243="nulová",J243,0)</f>
        <v>0</v>
      </c>
      <c r="BJ243" s="7" t="s">
        <v>2</v>
      </c>
      <c r="BK243" s="8">
        <f>ROUND(I243*H243,2)</f>
        <v>0</v>
      </c>
      <c r="BL243" s="7" t="s">
        <v>328</v>
      </c>
      <c r="BM243" s="6" t="s">
        <v>973</v>
      </c>
    </row>
    <row r="244" spans="2:65" s="2" customFormat="1">
      <c r="B244" s="3"/>
      <c r="D244" s="107" t="s">
        <v>651</v>
      </c>
      <c r="F244" s="106" t="s">
        <v>960</v>
      </c>
      <c r="I244" s="94"/>
      <c r="L244" s="3"/>
      <c r="M244" s="100"/>
      <c r="T244" s="99"/>
      <c r="AT244" s="7" t="s">
        <v>651</v>
      </c>
      <c r="AU244" s="7" t="s">
        <v>365</v>
      </c>
    </row>
    <row r="245" spans="2:65" s="2" customFormat="1" ht="16.5" customHeight="1">
      <c r="B245" s="3"/>
      <c r="C245" s="20" t="s">
        <v>137</v>
      </c>
      <c r="D245" s="20" t="s">
        <v>4</v>
      </c>
      <c r="E245" s="19" t="s">
        <v>972</v>
      </c>
      <c r="F245" s="14" t="s">
        <v>971</v>
      </c>
      <c r="G245" s="18" t="s">
        <v>21</v>
      </c>
      <c r="H245" s="17">
        <v>1</v>
      </c>
      <c r="I245" s="16"/>
      <c r="J245" s="15">
        <f>ROUND(I245*H245,2)</f>
        <v>0</v>
      </c>
      <c r="K245" s="14" t="s">
        <v>654</v>
      </c>
      <c r="L245" s="3"/>
      <c r="M245" s="24" t="s">
        <v>6</v>
      </c>
      <c r="N245" s="23" t="s">
        <v>5</v>
      </c>
      <c r="P245" s="22">
        <f>O245*H245</f>
        <v>0</v>
      </c>
      <c r="Q245" s="22">
        <v>6.0000000000000002E-5</v>
      </c>
      <c r="R245" s="22">
        <f>Q245*H245</f>
        <v>6.0000000000000002E-5</v>
      </c>
      <c r="S245" s="22">
        <v>8.4100000000000008E-3</v>
      </c>
      <c r="T245" s="21">
        <f>S245*H245</f>
        <v>8.4100000000000008E-3</v>
      </c>
      <c r="AR245" s="6" t="s">
        <v>328</v>
      </c>
      <c r="AT245" s="6" t="s">
        <v>4</v>
      </c>
      <c r="AU245" s="6" t="s">
        <v>365</v>
      </c>
      <c r="AY245" s="7" t="s">
        <v>3</v>
      </c>
      <c r="BE245" s="8">
        <f>IF(N245="základní",J245,0)</f>
        <v>0</v>
      </c>
      <c r="BF245" s="8">
        <f>IF(N245="snížená",J245,0)</f>
        <v>0</v>
      </c>
      <c r="BG245" s="8">
        <f>IF(N245="zákl. přenesená",J245,0)</f>
        <v>0</v>
      </c>
      <c r="BH245" s="8">
        <f>IF(N245="sníž. přenesená",J245,0)</f>
        <v>0</v>
      </c>
      <c r="BI245" s="8">
        <f>IF(N245="nulová",J245,0)</f>
        <v>0</v>
      </c>
      <c r="BJ245" s="7" t="s">
        <v>2</v>
      </c>
      <c r="BK245" s="8">
        <f>ROUND(I245*H245,2)</f>
        <v>0</v>
      </c>
      <c r="BL245" s="7" t="s">
        <v>328</v>
      </c>
      <c r="BM245" s="6" t="s">
        <v>970</v>
      </c>
    </row>
    <row r="246" spans="2:65" s="2" customFormat="1">
      <c r="B246" s="3"/>
      <c r="D246" s="107" t="s">
        <v>651</v>
      </c>
      <c r="F246" s="106" t="s">
        <v>969</v>
      </c>
      <c r="I246" s="94"/>
      <c r="L246" s="3"/>
      <c r="M246" s="100"/>
      <c r="T246" s="99"/>
      <c r="AT246" s="7" t="s">
        <v>651</v>
      </c>
      <c r="AU246" s="7" t="s">
        <v>365</v>
      </c>
    </row>
    <row r="247" spans="2:65" s="2" customFormat="1" ht="16.5" customHeight="1">
      <c r="B247" s="3"/>
      <c r="C247" s="20" t="s">
        <v>133</v>
      </c>
      <c r="D247" s="20" t="s">
        <v>4</v>
      </c>
      <c r="E247" s="19" t="s">
        <v>968</v>
      </c>
      <c r="F247" s="14" t="s">
        <v>967</v>
      </c>
      <c r="G247" s="18" t="s">
        <v>722</v>
      </c>
      <c r="H247" s="17">
        <v>12</v>
      </c>
      <c r="I247" s="16"/>
      <c r="J247" s="15">
        <f>ROUND(I247*H247,2)</f>
        <v>0</v>
      </c>
      <c r="K247" s="14" t="s">
        <v>7</v>
      </c>
      <c r="L247" s="3"/>
      <c r="M247" s="24" t="s">
        <v>6</v>
      </c>
      <c r="N247" s="23" t="s">
        <v>5</v>
      </c>
      <c r="P247" s="22">
        <f>O247*H247</f>
        <v>0</v>
      </c>
      <c r="Q247" s="22">
        <v>0</v>
      </c>
      <c r="R247" s="22">
        <f>Q247*H247</f>
        <v>0</v>
      </c>
      <c r="S247" s="22">
        <v>7.2000000000000005E-4</v>
      </c>
      <c r="T247" s="21">
        <f>S247*H247</f>
        <v>8.6400000000000001E-3</v>
      </c>
      <c r="AR247" s="6" t="s">
        <v>328</v>
      </c>
      <c r="AT247" s="6" t="s">
        <v>4</v>
      </c>
      <c r="AU247" s="6" t="s">
        <v>365</v>
      </c>
      <c r="AY247" s="7" t="s">
        <v>3</v>
      </c>
      <c r="BE247" s="8">
        <f>IF(N247="základní",J247,0)</f>
        <v>0</v>
      </c>
      <c r="BF247" s="8">
        <f>IF(N247="snížená",J247,0)</f>
        <v>0</v>
      </c>
      <c r="BG247" s="8">
        <f>IF(N247="zákl. přenesená",J247,0)</f>
        <v>0</v>
      </c>
      <c r="BH247" s="8">
        <f>IF(N247="sníž. přenesená",J247,0)</f>
        <v>0</v>
      </c>
      <c r="BI247" s="8">
        <f>IF(N247="nulová",J247,0)</f>
        <v>0</v>
      </c>
      <c r="BJ247" s="7" t="s">
        <v>2</v>
      </c>
      <c r="BK247" s="8">
        <f>ROUND(I247*H247,2)</f>
        <v>0</v>
      </c>
      <c r="BL247" s="7" t="s">
        <v>328</v>
      </c>
      <c r="BM247" s="6" t="s">
        <v>966</v>
      </c>
    </row>
    <row r="248" spans="2:65" s="2" customFormat="1" ht="39">
      <c r="B248" s="3"/>
      <c r="D248" s="96" t="s">
        <v>731</v>
      </c>
      <c r="F248" s="95" t="s">
        <v>965</v>
      </c>
      <c r="I248" s="94"/>
      <c r="L248" s="3"/>
      <c r="M248" s="100"/>
      <c r="T248" s="99"/>
      <c r="AT248" s="7" t="s">
        <v>731</v>
      </c>
      <c r="AU248" s="7" t="s">
        <v>365</v>
      </c>
    </row>
    <row r="249" spans="2:65" s="108" customFormat="1">
      <c r="B249" s="112"/>
      <c r="D249" s="96" t="s">
        <v>704</v>
      </c>
      <c r="E249" s="109" t="s">
        <v>6</v>
      </c>
      <c r="F249" s="115" t="s">
        <v>964</v>
      </c>
      <c r="H249" s="114">
        <v>12</v>
      </c>
      <c r="I249" s="113"/>
      <c r="L249" s="112"/>
      <c r="M249" s="111"/>
      <c r="T249" s="110"/>
      <c r="AT249" s="109" t="s">
        <v>704</v>
      </c>
      <c r="AU249" s="109" t="s">
        <v>365</v>
      </c>
      <c r="AV249" s="108" t="s">
        <v>365</v>
      </c>
      <c r="AW249" s="108" t="s">
        <v>703</v>
      </c>
      <c r="AX249" s="108" t="s">
        <v>2</v>
      </c>
      <c r="AY249" s="109" t="s">
        <v>3</v>
      </c>
    </row>
    <row r="250" spans="2:65" s="2" customFormat="1" ht="16.5" customHeight="1">
      <c r="B250" s="3"/>
      <c r="C250" s="20" t="s">
        <v>129</v>
      </c>
      <c r="D250" s="20" t="s">
        <v>4</v>
      </c>
      <c r="E250" s="19" t="s">
        <v>963</v>
      </c>
      <c r="F250" s="14" t="s">
        <v>962</v>
      </c>
      <c r="G250" s="18" t="s">
        <v>21</v>
      </c>
      <c r="H250" s="17">
        <v>36</v>
      </c>
      <c r="I250" s="16"/>
      <c r="J250" s="15">
        <f>ROUND(I250*H250,2)</f>
        <v>0</v>
      </c>
      <c r="K250" s="14" t="s">
        <v>654</v>
      </c>
      <c r="L250" s="3"/>
      <c r="M250" s="24" t="s">
        <v>6</v>
      </c>
      <c r="N250" s="23" t="s">
        <v>5</v>
      </c>
      <c r="P250" s="22">
        <f>O250*H250</f>
        <v>0</v>
      </c>
      <c r="Q250" s="22">
        <v>5.0000000000000002E-5</v>
      </c>
      <c r="R250" s="22">
        <f>Q250*H250</f>
        <v>1.8000000000000002E-3</v>
      </c>
      <c r="S250" s="22">
        <v>5.3200000000000001E-3</v>
      </c>
      <c r="T250" s="21">
        <f>S250*H250</f>
        <v>0.19152</v>
      </c>
      <c r="AR250" s="6" t="s">
        <v>328</v>
      </c>
      <c r="AT250" s="6" t="s">
        <v>4</v>
      </c>
      <c r="AU250" s="6" t="s">
        <v>365</v>
      </c>
      <c r="AY250" s="7" t="s">
        <v>3</v>
      </c>
      <c r="BE250" s="8">
        <f>IF(N250="základní",J250,0)</f>
        <v>0</v>
      </c>
      <c r="BF250" s="8">
        <f>IF(N250="snížená",J250,0)</f>
        <v>0</v>
      </c>
      <c r="BG250" s="8">
        <f>IF(N250="zákl. přenesená",J250,0)</f>
        <v>0</v>
      </c>
      <c r="BH250" s="8">
        <f>IF(N250="sníž. přenesená",J250,0)</f>
        <v>0</v>
      </c>
      <c r="BI250" s="8">
        <f>IF(N250="nulová",J250,0)</f>
        <v>0</v>
      </c>
      <c r="BJ250" s="7" t="s">
        <v>2</v>
      </c>
      <c r="BK250" s="8">
        <f>ROUND(I250*H250,2)</f>
        <v>0</v>
      </c>
      <c r="BL250" s="7" t="s">
        <v>328</v>
      </c>
      <c r="BM250" s="6" t="s">
        <v>961</v>
      </c>
    </row>
    <row r="251" spans="2:65" s="2" customFormat="1">
      <c r="B251" s="3"/>
      <c r="D251" s="107" t="s">
        <v>651</v>
      </c>
      <c r="F251" s="106" t="s">
        <v>960</v>
      </c>
      <c r="I251" s="94"/>
      <c r="L251" s="3"/>
      <c r="M251" s="100"/>
      <c r="T251" s="99"/>
      <c r="AT251" s="7" t="s">
        <v>651</v>
      </c>
      <c r="AU251" s="7" t="s">
        <v>365</v>
      </c>
    </row>
    <row r="252" spans="2:65" s="108" customFormat="1">
      <c r="B252" s="112"/>
      <c r="D252" s="96" t="s">
        <v>704</v>
      </c>
      <c r="E252" s="109" t="s">
        <v>6</v>
      </c>
      <c r="F252" s="115" t="s">
        <v>959</v>
      </c>
      <c r="H252" s="114">
        <v>36</v>
      </c>
      <c r="I252" s="113"/>
      <c r="L252" s="112"/>
      <c r="M252" s="111"/>
      <c r="T252" s="110"/>
      <c r="AT252" s="109" t="s">
        <v>704</v>
      </c>
      <c r="AU252" s="109" t="s">
        <v>365</v>
      </c>
      <c r="AV252" s="108" t="s">
        <v>365</v>
      </c>
      <c r="AW252" s="108" t="s">
        <v>703</v>
      </c>
      <c r="AX252" s="108" t="s">
        <v>2</v>
      </c>
      <c r="AY252" s="109" t="s">
        <v>3</v>
      </c>
    </row>
    <row r="253" spans="2:65" s="25" customFormat="1" ht="22.9" customHeight="1">
      <c r="B253" s="32"/>
      <c r="D253" s="27" t="s">
        <v>26</v>
      </c>
      <c r="E253" s="98" t="s">
        <v>958</v>
      </c>
      <c r="F253" s="98" t="s">
        <v>957</v>
      </c>
      <c r="I253" s="34"/>
      <c r="J253" s="97">
        <f>BK253</f>
        <v>0</v>
      </c>
      <c r="L253" s="32"/>
      <c r="M253" s="31"/>
      <c r="P253" s="30">
        <f>SUM(P254:P351)</f>
        <v>0</v>
      </c>
      <c r="R253" s="30">
        <f>SUM(R254:R351)</f>
        <v>0.11979999999999998</v>
      </c>
      <c r="T253" s="29">
        <f>SUM(T254:T351)</f>
        <v>3.4860000000000002E-2</v>
      </c>
      <c r="AR253" s="27" t="s">
        <v>365</v>
      </c>
      <c r="AT253" s="28" t="s">
        <v>26</v>
      </c>
      <c r="AU253" s="28" t="s">
        <v>2</v>
      </c>
      <c r="AY253" s="27" t="s">
        <v>3</v>
      </c>
      <c r="BK253" s="26">
        <f>SUM(BK254:BK351)</f>
        <v>0</v>
      </c>
    </row>
    <row r="254" spans="2:65" s="2" customFormat="1" ht="16.5" customHeight="1">
      <c r="B254" s="3"/>
      <c r="C254" s="20" t="s">
        <v>121</v>
      </c>
      <c r="D254" s="20" t="s">
        <v>4</v>
      </c>
      <c r="E254" s="19" t="s">
        <v>952</v>
      </c>
      <c r="F254" s="14" t="s">
        <v>951</v>
      </c>
      <c r="G254" s="18" t="s">
        <v>722</v>
      </c>
      <c r="H254" s="17">
        <v>2</v>
      </c>
      <c r="I254" s="16"/>
      <c r="J254" s="15">
        <f>ROUND(I254*H254,2)</f>
        <v>0</v>
      </c>
      <c r="K254" s="14" t="s">
        <v>654</v>
      </c>
      <c r="L254" s="3"/>
      <c r="M254" s="24" t="s">
        <v>6</v>
      </c>
      <c r="N254" s="23" t="s">
        <v>5</v>
      </c>
      <c r="P254" s="22">
        <f>O254*H254</f>
        <v>0</v>
      </c>
      <c r="Q254" s="22">
        <v>3.0000000000000001E-5</v>
      </c>
      <c r="R254" s="22">
        <f>Q254*H254</f>
        <v>6.0000000000000002E-5</v>
      </c>
      <c r="S254" s="22">
        <v>0</v>
      </c>
      <c r="T254" s="21">
        <f>S254*H254</f>
        <v>0</v>
      </c>
      <c r="AR254" s="6" t="s">
        <v>328</v>
      </c>
      <c r="AT254" s="6" t="s">
        <v>4</v>
      </c>
      <c r="AU254" s="6" t="s">
        <v>365</v>
      </c>
      <c r="AY254" s="7" t="s">
        <v>3</v>
      </c>
      <c r="BE254" s="8">
        <f>IF(N254="základní",J254,0)</f>
        <v>0</v>
      </c>
      <c r="BF254" s="8">
        <f>IF(N254="snížená",J254,0)</f>
        <v>0</v>
      </c>
      <c r="BG254" s="8">
        <f>IF(N254="zákl. přenesená",J254,0)</f>
        <v>0</v>
      </c>
      <c r="BH254" s="8">
        <f>IF(N254="sníž. přenesená",J254,0)</f>
        <v>0</v>
      </c>
      <c r="BI254" s="8">
        <f>IF(N254="nulová",J254,0)</f>
        <v>0</v>
      </c>
      <c r="BJ254" s="7" t="s">
        <v>2</v>
      </c>
      <c r="BK254" s="8">
        <f>ROUND(I254*H254,2)</f>
        <v>0</v>
      </c>
      <c r="BL254" s="7" t="s">
        <v>328</v>
      </c>
      <c r="BM254" s="6" t="s">
        <v>956</v>
      </c>
    </row>
    <row r="255" spans="2:65" s="2" customFormat="1">
      <c r="B255" s="3"/>
      <c r="D255" s="107" t="s">
        <v>651</v>
      </c>
      <c r="F255" s="106" t="s">
        <v>949</v>
      </c>
      <c r="I255" s="94"/>
      <c r="L255" s="3"/>
      <c r="M255" s="100"/>
      <c r="T255" s="99"/>
      <c r="AT255" s="7" t="s">
        <v>651</v>
      </c>
      <c r="AU255" s="7" t="s">
        <v>365</v>
      </c>
    </row>
    <row r="256" spans="2:65" s="2" customFormat="1" ht="16.5" customHeight="1">
      <c r="B256" s="3"/>
      <c r="C256" s="125" t="s">
        <v>115</v>
      </c>
      <c r="D256" s="125" t="s">
        <v>750</v>
      </c>
      <c r="E256" s="124" t="s">
        <v>955</v>
      </c>
      <c r="F256" s="119" t="s">
        <v>954</v>
      </c>
      <c r="G256" s="123" t="s">
        <v>722</v>
      </c>
      <c r="H256" s="122">
        <v>2</v>
      </c>
      <c r="I256" s="121"/>
      <c r="J256" s="120">
        <f>ROUND(I256*H256,2)</f>
        <v>0</v>
      </c>
      <c r="K256" s="119" t="s">
        <v>7</v>
      </c>
      <c r="L256" s="118"/>
      <c r="M256" s="117" t="s">
        <v>6</v>
      </c>
      <c r="N256" s="116" t="s">
        <v>5</v>
      </c>
      <c r="P256" s="22">
        <f>O256*H256</f>
        <v>0</v>
      </c>
      <c r="Q256" s="22">
        <v>2.9999999999999997E-4</v>
      </c>
      <c r="R256" s="22">
        <f>Q256*H256</f>
        <v>5.9999999999999995E-4</v>
      </c>
      <c r="S256" s="22">
        <v>0</v>
      </c>
      <c r="T256" s="21">
        <f>S256*H256</f>
        <v>0</v>
      </c>
      <c r="AR256" s="6" t="s">
        <v>283</v>
      </c>
      <c r="AT256" s="6" t="s">
        <v>750</v>
      </c>
      <c r="AU256" s="6" t="s">
        <v>365</v>
      </c>
      <c r="AY256" s="7" t="s">
        <v>3</v>
      </c>
      <c r="BE256" s="8">
        <f>IF(N256="základní",J256,0)</f>
        <v>0</v>
      </c>
      <c r="BF256" s="8">
        <f>IF(N256="snížená",J256,0)</f>
        <v>0</v>
      </c>
      <c r="BG256" s="8">
        <f>IF(N256="zákl. přenesená",J256,0)</f>
        <v>0</v>
      </c>
      <c r="BH256" s="8">
        <f>IF(N256="sníž. přenesená",J256,0)</f>
        <v>0</v>
      </c>
      <c r="BI256" s="8">
        <f>IF(N256="nulová",J256,0)</f>
        <v>0</v>
      </c>
      <c r="BJ256" s="7" t="s">
        <v>2</v>
      </c>
      <c r="BK256" s="8">
        <f>ROUND(I256*H256,2)</f>
        <v>0</v>
      </c>
      <c r="BL256" s="7" t="s">
        <v>328</v>
      </c>
      <c r="BM256" s="6" t="s">
        <v>953</v>
      </c>
    </row>
    <row r="257" spans="2:65" s="2" customFormat="1" ht="16.5" customHeight="1">
      <c r="B257" s="3"/>
      <c r="C257" s="20" t="s">
        <v>109</v>
      </c>
      <c r="D257" s="20" t="s">
        <v>4</v>
      </c>
      <c r="E257" s="19" t="s">
        <v>952</v>
      </c>
      <c r="F257" s="14" t="s">
        <v>951</v>
      </c>
      <c r="G257" s="18" t="s">
        <v>722</v>
      </c>
      <c r="H257" s="17">
        <v>1</v>
      </c>
      <c r="I257" s="16"/>
      <c r="J257" s="15">
        <f>ROUND(I257*H257,2)</f>
        <v>0</v>
      </c>
      <c r="K257" s="14" t="s">
        <v>654</v>
      </c>
      <c r="L257" s="3"/>
      <c r="M257" s="24" t="s">
        <v>6</v>
      </c>
      <c r="N257" s="23" t="s">
        <v>5</v>
      </c>
      <c r="P257" s="22">
        <f>O257*H257</f>
        <v>0</v>
      </c>
      <c r="Q257" s="22">
        <v>3.0000000000000001E-5</v>
      </c>
      <c r="R257" s="22">
        <f>Q257*H257</f>
        <v>3.0000000000000001E-5</v>
      </c>
      <c r="S257" s="22">
        <v>0</v>
      </c>
      <c r="T257" s="21">
        <f>S257*H257</f>
        <v>0</v>
      </c>
      <c r="AR257" s="6" t="s">
        <v>328</v>
      </c>
      <c r="AT257" s="6" t="s">
        <v>4</v>
      </c>
      <c r="AU257" s="6" t="s">
        <v>365</v>
      </c>
      <c r="AY257" s="7" t="s">
        <v>3</v>
      </c>
      <c r="BE257" s="8">
        <f>IF(N257="základní",J257,0)</f>
        <v>0</v>
      </c>
      <c r="BF257" s="8">
        <f>IF(N257="snížená",J257,0)</f>
        <v>0</v>
      </c>
      <c r="BG257" s="8">
        <f>IF(N257="zákl. přenesená",J257,0)</f>
        <v>0</v>
      </c>
      <c r="BH257" s="8">
        <f>IF(N257="sníž. přenesená",J257,0)</f>
        <v>0</v>
      </c>
      <c r="BI257" s="8">
        <f>IF(N257="nulová",J257,0)</f>
        <v>0</v>
      </c>
      <c r="BJ257" s="7" t="s">
        <v>2</v>
      </c>
      <c r="BK257" s="8">
        <f>ROUND(I257*H257,2)</f>
        <v>0</v>
      </c>
      <c r="BL257" s="7" t="s">
        <v>328</v>
      </c>
      <c r="BM257" s="6" t="s">
        <v>950</v>
      </c>
    </row>
    <row r="258" spans="2:65" s="2" customFormat="1">
      <c r="B258" s="3"/>
      <c r="D258" s="107" t="s">
        <v>651</v>
      </c>
      <c r="F258" s="106" t="s">
        <v>949</v>
      </c>
      <c r="I258" s="94"/>
      <c r="L258" s="3"/>
      <c r="M258" s="100"/>
      <c r="T258" s="99"/>
      <c r="AT258" s="7" t="s">
        <v>651</v>
      </c>
      <c r="AU258" s="7" t="s">
        <v>365</v>
      </c>
    </row>
    <row r="259" spans="2:65" s="2" customFormat="1" ht="16.5" customHeight="1">
      <c r="B259" s="3"/>
      <c r="C259" s="125" t="s">
        <v>105</v>
      </c>
      <c r="D259" s="125" t="s">
        <v>750</v>
      </c>
      <c r="E259" s="124" t="s">
        <v>948</v>
      </c>
      <c r="F259" s="119" t="s">
        <v>947</v>
      </c>
      <c r="G259" s="123" t="s">
        <v>722</v>
      </c>
      <c r="H259" s="122">
        <v>1</v>
      </c>
      <c r="I259" s="121"/>
      <c r="J259" s="120">
        <f>ROUND(I259*H259,2)</f>
        <v>0</v>
      </c>
      <c r="K259" s="119" t="s">
        <v>7</v>
      </c>
      <c r="L259" s="118"/>
      <c r="M259" s="117" t="s">
        <v>6</v>
      </c>
      <c r="N259" s="116" t="s">
        <v>5</v>
      </c>
      <c r="P259" s="22">
        <f>O259*H259</f>
        <v>0</v>
      </c>
      <c r="Q259" s="22">
        <v>2.0000000000000001E-4</v>
      </c>
      <c r="R259" s="22">
        <f>Q259*H259</f>
        <v>2.0000000000000001E-4</v>
      </c>
      <c r="S259" s="22">
        <v>0</v>
      </c>
      <c r="T259" s="21">
        <f>S259*H259</f>
        <v>0</v>
      </c>
      <c r="AR259" s="6" t="s">
        <v>283</v>
      </c>
      <c r="AT259" s="6" t="s">
        <v>750</v>
      </c>
      <c r="AU259" s="6" t="s">
        <v>365</v>
      </c>
      <c r="AY259" s="7" t="s">
        <v>3</v>
      </c>
      <c r="BE259" s="8">
        <f>IF(N259="základní",J259,0)</f>
        <v>0</v>
      </c>
      <c r="BF259" s="8">
        <f>IF(N259="snížená",J259,0)</f>
        <v>0</v>
      </c>
      <c r="BG259" s="8">
        <f>IF(N259="zákl. přenesená",J259,0)</f>
        <v>0</v>
      </c>
      <c r="BH259" s="8">
        <f>IF(N259="sníž. přenesená",J259,0)</f>
        <v>0</v>
      </c>
      <c r="BI259" s="8">
        <f>IF(N259="nulová",J259,0)</f>
        <v>0</v>
      </c>
      <c r="BJ259" s="7" t="s">
        <v>2</v>
      </c>
      <c r="BK259" s="8">
        <f>ROUND(I259*H259,2)</f>
        <v>0</v>
      </c>
      <c r="BL259" s="7" t="s">
        <v>328</v>
      </c>
      <c r="BM259" s="6" t="s">
        <v>946</v>
      </c>
    </row>
    <row r="260" spans="2:65" s="2" customFormat="1" ht="16.5" customHeight="1">
      <c r="B260" s="3"/>
      <c r="C260" s="20" t="s">
        <v>101</v>
      </c>
      <c r="D260" s="20" t="s">
        <v>4</v>
      </c>
      <c r="E260" s="19" t="s">
        <v>933</v>
      </c>
      <c r="F260" s="14" t="s">
        <v>932</v>
      </c>
      <c r="G260" s="18" t="s">
        <v>722</v>
      </c>
      <c r="H260" s="17">
        <v>1</v>
      </c>
      <c r="I260" s="16"/>
      <c r="J260" s="15">
        <f>ROUND(I260*H260,2)</f>
        <v>0</v>
      </c>
      <c r="K260" s="14" t="s">
        <v>654</v>
      </c>
      <c r="L260" s="3"/>
      <c r="M260" s="24" t="s">
        <v>6</v>
      </c>
      <c r="N260" s="23" t="s">
        <v>5</v>
      </c>
      <c r="P260" s="22">
        <f>O260*H260</f>
        <v>0</v>
      </c>
      <c r="Q260" s="22">
        <v>8.0000000000000007E-5</v>
      </c>
      <c r="R260" s="22">
        <f>Q260*H260</f>
        <v>8.0000000000000007E-5</v>
      </c>
      <c r="S260" s="22">
        <v>0</v>
      </c>
      <c r="T260" s="21">
        <f>S260*H260</f>
        <v>0</v>
      </c>
      <c r="AR260" s="6" t="s">
        <v>328</v>
      </c>
      <c r="AT260" s="6" t="s">
        <v>4</v>
      </c>
      <c r="AU260" s="6" t="s">
        <v>365</v>
      </c>
      <c r="AY260" s="7" t="s">
        <v>3</v>
      </c>
      <c r="BE260" s="8">
        <f>IF(N260="základní",J260,0)</f>
        <v>0</v>
      </c>
      <c r="BF260" s="8">
        <f>IF(N260="snížená",J260,0)</f>
        <v>0</v>
      </c>
      <c r="BG260" s="8">
        <f>IF(N260="zákl. přenesená",J260,0)</f>
        <v>0</v>
      </c>
      <c r="BH260" s="8">
        <f>IF(N260="sníž. přenesená",J260,0)</f>
        <v>0</v>
      </c>
      <c r="BI260" s="8">
        <f>IF(N260="nulová",J260,0)</f>
        <v>0</v>
      </c>
      <c r="BJ260" s="7" t="s">
        <v>2</v>
      </c>
      <c r="BK260" s="8">
        <f>ROUND(I260*H260,2)</f>
        <v>0</v>
      </c>
      <c r="BL260" s="7" t="s">
        <v>328</v>
      </c>
      <c r="BM260" s="6" t="s">
        <v>945</v>
      </c>
    </row>
    <row r="261" spans="2:65" s="2" customFormat="1">
      <c r="B261" s="3"/>
      <c r="D261" s="107" t="s">
        <v>651</v>
      </c>
      <c r="F261" s="106" t="s">
        <v>930</v>
      </c>
      <c r="I261" s="94"/>
      <c r="L261" s="3"/>
      <c r="M261" s="100"/>
      <c r="T261" s="99"/>
      <c r="AT261" s="7" t="s">
        <v>651</v>
      </c>
      <c r="AU261" s="7" t="s">
        <v>365</v>
      </c>
    </row>
    <row r="262" spans="2:65" s="2" customFormat="1" ht="21.75" customHeight="1">
      <c r="B262" s="3"/>
      <c r="C262" s="125" t="s">
        <v>97</v>
      </c>
      <c r="D262" s="125" t="s">
        <v>750</v>
      </c>
      <c r="E262" s="124" t="s">
        <v>944</v>
      </c>
      <c r="F262" s="119" t="s">
        <v>943</v>
      </c>
      <c r="G262" s="123" t="s">
        <v>722</v>
      </c>
      <c r="H262" s="122">
        <v>1</v>
      </c>
      <c r="I262" s="121"/>
      <c r="J262" s="120">
        <f>ROUND(I262*H262,2)</f>
        <v>0</v>
      </c>
      <c r="K262" s="119" t="s">
        <v>7</v>
      </c>
      <c r="L262" s="118"/>
      <c r="M262" s="117" t="s">
        <v>6</v>
      </c>
      <c r="N262" s="116" t="s">
        <v>5</v>
      </c>
      <c r="P262" s="22">
        <f>O262*H262</f>
        <v>0</v>
      </c>
      <c r="Q262" s="22">
        <v>2.9999999999999997E-4</v>
      </c>
      <c r="R262" s="22">
        <f>Q262*H262</f>
        <v>2.9999999999999997E-4</v>
      </c>
      <c r="S262" s="22">
        <v>0</v>
      </c>
      <c r="T262" s="21">
        <f>S262*H262</f>
        <v>0</v>
      </c>
      <c r="AR262" s="6" t="s">
        <v>283</v>
      </c>
      <c r="AT262" s="6" t="s">
        <v>750</v>
      </c>
      <c r="AU262" s="6" t="s">
        <v>365</v>
      </c>
      <c r="AY262" s="7" t="s">
        <v>3</v>
      </c>
      <c r="BE262" s="8">
        <f>IF(N262="základní",J262,0)</f>
        <v>0</v>
      </c>
      <c r="BF262" s="8">
        <f>IF(N262="snížená",J262,0)</f>
        <v>0</v>
      </c>
      <c r="BG262" s="8">
        <f>IF(N262="zákl. přenesená",J262,0)</f>
        <v>0</v>
      </c>
      <c r="BH262" s="8">
        <f>IF(N262="sníž. přenesená",J262,0)</f>
        <v>0</v>
      </c>
      <c r="BI262" s="8">
        <f>IF(N262="nulová",J262,0)</f>
        <v>0</v>
      </c>
      <c r="BJ262" s="7" t="s">
        <v>2</v>
      </c>
      <c r="BK262" s="8">
        <f>ROUND(I262*H262,2)</f>
        <v>0</v>
      </c>
      <c r="BL262" s="7" t="s">
        <v>328</v>
      </c>
      <c r="BM262" s="6" t="s">
        <v>942</v>
      </c>
    </row>
    <row r="263" spans="2:65" s="2" customFormat="1" ht="16.5" customHeight="1">
      <c r="B263" s="3"/>
      <c r="C263" s="20" t="s">
        <v>93</v>
      </c>
      <c r="D263" s="20" t="s">
        <v>4</v>
      </c>
      <c r="E263" s="19" t="s">
        <v>933</v>
      </c>
      <c r="F263" s="14" t="s">
        <v>932</v>
      </c>
      <c r="G263" s="18" t="s">
        <v>722</v>
      </c>
      <c r="H263" s="17">
        <v>1</v>
      </c>
      <c r="I263" s="16"/>
      <c r="J263" s="15">
        <f>ROUND(I263*H263,2)</f>
        <v>0</v>
      </c>
      <c r="K263" s="14" t="s">
        <v>654</v>
      </c>
      <c r="L263" s="3"/>
      <c r="M263" s="24" t="s">
        <v>6</v>
      </c>
      <c r="N263" s="23" t="s">
        <v>5</v>
      </c>
      <c r="P263" s="22">
        <f>O263*H263</f>
        <v>0</v>
      </c>
      <c r="Q263" s="22">
        <v>8.0000000000000007E-5</v>
      </c>
      <c r="R263" s="22">
        <f>Q263*H263</f>
        <v>8.0000000000000007E-5</v>
      </c>
      <c r="S263" s="22">
        <v>0</v>
      </c>
      <c r="T263" s="21">
        <f>S263*H263</f>
        <v>0</v>
      </c>
      <c r="AR263" s="6" t="s">
        <v>328</v>
      </c>
      <c r="AT263" s="6" t="s">
        <v>4</v>
      </c>
      <c r="AU263" s="6" t="s">
        <v>365</v>
      </c>
      <c r="AY263" s="7" t="s">
        <v>3</v>
      </c>
      <c r="BE263" s="8">
        <f>IF(N263="základní",J263,0)</f>
        <v>0</v>
      </c>
      <c r="BF263" s="8">
        <f>IF(N263="snížená",J263,0)</f>
        <v>0</v>
      </c>
      <c r="BG263" s="8">
        <f>IF(N263="zákl. přenesená",J263,0)</f>
        <v>0</v>
      </c>
      <c r="BH263" s="8">
        <f>IF(N263="sníž. přenesená",J263,0)</f>
        <v>0</v>
      </c>
      <c r="BI263" s="8">
        <f>IF(N263="nulová",J263,0)</f>
        <v>0</v>
      </c>
      <c r="BJ263" s="7" t="s">
        <v>2</v>
      </c>
      <c r="BK263" s="8">
        <f>ROUND(I263*H263,2)</f>
        <v>0</v>
      </c>
      <c r="BL263" s="7" t="s">
        <v>328</v>
      </c>
      <c r="BM263" s="6" t="s">
        <v>941</v>
      </c>
    </row>
    <row r="264" spans="2:65" s="2" customFormat="1">
      <c r="B264" s="3"/>
      <c r="D264" s="107" t="s">
        <v>651</v>
      </c>
      <c r="F264" s="106" t="s">
        <v>930</v>
      </c>
      <c r="I264" s="94"/>
      <c r="L264" s="3"/>
      <c r="M264" s="100"/>
      <c r="T264" s="99"/>
      <c r="AT264" s="7" t="s">
        <v>651</v>
      </c>
      <c r="AU264" s="7" t="s">
        <v>365</v>
      </c>
    </row>
    <row r="265" spans="2:65" s="2" customFormat="1" ht="16.5" customHeight="1">
      <c r="B265" s="3"/>
      <c r="C265" s="125" t="s">
        <v>89</v>
      </c>
      <c r="D265" s="125" t="s">
        <v>750</v>
      </c>
      <c r="E265" s="124" t="s">
        <v>940</v>
      </c>
      <c r="F265" s="119" t="s">
        <v>939</v>
      </c>
      <c r="G265" s="123" t="s">
        <v>722</v>
      </c>
      <c r="H265" s="122">
        <v>1</v>
      </c>
      <c r="I265" s="121"/>
      <c r="J265" s="120">
        <f>ROUND(I265*H265,2)</f>
        <v>0</v>
      </c>
      <c r="K265" s="119" t="s">
        <v>7</v>
      </c>
      <c r="L265" s="118"/>
      <c r="M265" s="117" t="s">
        <v>6</v>
      </c>
      <c r="N265" s="116" t="s">
        <v>5</v>
      </c>
      <c r="P265" s="22">
        <f>O265*H265</f>
        <v>0</v>
      </c>
      <c r="Q265" s="22">
        <v>2.0000000000000001E-4</v>
      </c>
      <c r="R265" s="22">
        <f>Q265*H265</f>
        <v>2.0000000000000001E-4</v>
      </c>
      <c r="S265" s="22">
        <v>0</v>
      </c>
      <c r="T265" s="21">
        <f>S265*H265</f>
        <v>0</v>
      </c>
      <c r="AR265" s="6" t="s">
        <v>283</v>
      </c>
      <c r="AT265" s="6" t="s">
        <v>750</v>
      </c>
      <c r="AU265" s="6" t="s">
        <v>365</v>
      </c>
      <c r="AY265" s="7" t="s">
        <v>3</v>
      </c>
      <c r="BE265" s="8">
        <f>IF(N265="základní",J265,0)</f>
        <v>0</v>
      </c>
      <c r="BF265" s="8">
        <f>IF(N265="snížená",J265,0)</f>
        <v>0</v>
      </c>
      <c r="BG265" s="8">
        <f>IF(N265="zákl. přenesená",J265,0)</f>
        <v>0</v>
      </c>
      <c r="BH265" s="8">
        <f>IF(N265="sníž. přenesená",J265,0)</f>
        <v>0</v>
      </c>
      <c r="BI265" s="8">
        <f>IF(N265="nulová",J265,0)</f>
        <v>0</v>
      </c>
      <c r="BJ265" s="7" t="s">
        <v>2</v>
      </c>
      <c r="BK265" s="8">
        <f>ROUND(I265*H265,2)</f>
        <v>0</v>
      </c>
      <c r="BL265" s="7" t="s">
        <v>328</v>
      </c>
      <c r="BM265" s="6" t="s">
        <v>938</v>
      </c>
    </row>
    <row r="266" spans="2:65" s="2" customFormat="1" ht="16.5" customHeight="1">
      <c r="B266" s="3"/>
      <c r="C266" s="20" t="s">
        <v>85</v>
      </c>
      <c r="D266" s="20" t="s">
        <v>4</v>
      </c>
      <c r="E266" s="19" t="s">
        <v>933</v>
      </c>
      <c r="F266" s="14" t="s">
        <v>932</v>
      </c>
      <c r="G266" s="18" t="s">
        <v>722</v>
      </c>
      <c r="H266" s="17">
        <v>1</v>
      </c>
      <c r="I266" s="16"/>
      <c r="J266" s="15">
        <f>ROUND(I266*H266,2)</f>
        <v>0</v>
      </c>
      <c r="K266" s="14" t="s">
        <v>654</v>
      </c>
      <c r="L266" s="3"/>
      <c r="M266" s="24" t="s">
        <v>6</v>
      </c>
      <c r="N266" s="23" t="s">
        <v>5</v>
      </c>
      <c r="P266" s="22">
        <f>O266*H266</f>
        <v>0</v>
      </c>
      <c r="Q266" s="22">
        <v>8.0000000000000007E-5</v>
      </c>
      <c r="R266" s="22">
        <f>Q266*H266</f>
        <v>8.0000000000000007E-5</v>
      </c>
      <c r="S266" s="22">
        <v>0</v>
      </c>
      <c r="T266" s="21">
        <f>S266*H266</f>
        <v>0</v>
      </c>
      <c r="AR266" s="6" t="s">
        <v>328</v>
      </c>
      <c r="AT266" s="6" t="s">
        <v>4</v>
      </c>
      <c r="AU266" s="6" t="s">
        <v>365</v>
      </c>
      <c r="AY266" s="7" t="s">
        <v>3</v>
      </c>
      <c r="BE266" s="8">
        <f>IF(N266="základní",J266,0)</f>
        <v>0</v>
      </c>
      <c r="BF266" s="8">
        <f>IF(N266="snížená",J266,0)</f>
        <v>0</v>
      </c>
      <c r="BG266" s="8">
        <f>IF(N266="zákl. přenesená",J266,0)</f>
        <v>0</v>
      </c>
      <c r="BH266" s="8">
        <f>IF(N266="sníž. přenesená",J266,0)</f>
        <v>0</v>
      </c>
      <c r="BI266" s="8">
        <f>IF(N266="nulová",J266,0)</f>
        <v>0</v>
      </c>
      <c r="BJ266" s="7" t="s">
        <v>2</v>
      </c>
      <c r="BK266" s="8">
        <f>ROUND(I266*H266,2)</f>
        <v>0</v>
      </c>
      <c r="BL266" s="7" t="s">
        <v>328</v>
      </c>
      <c r="BM266" s="6" t="s">
        <v>937</v>
      </c>
    </row>
    <row r="267" spans="2:65" s="2" customFormat="1">
      <c r="B267" s="3"/>
      <c r="D267" s="107" t="s">
        <v>651</v>
      </c>
      <c r="F267" s="106" t="s">
        <v>930</v>
      </c>
      <c r="I267" s="94"/>
      <c r="L267" s="3"/>
      <c r="M267" s="100"/>
      <c r="T267" s="99"/>
      <c r="AT267" s="7" t="s">
        <v>651</v>
      </c>
      <c r="AU267" s="7" t="s">
        <v>365</v>
      </c>
    </row>
    <row r="268" spans="2:65" s="2" customFormat="1" ht="21.75" customHeight="1">
      <c r="B268" s="3"/>
      <c r="C268" s="125" t="s">
        <v>81</v>
      </c>
      <c r="D268" s="125" t="s">
        <v>750</v>
      </c>
      <c r="E268" s="124" t="s">
        <v>936</v>
      </c>
      <c r="F268" s="119" t="s">
        <v>935</v>
      </c>
      <c r="G268" s="123" t="s">
        <v>722</v>
      </c>
      <c r="H268" s="122">
        <v>1</v>
      </c>
      <c r="I268" s="121"/>
      <c r="J268" s="120">
        <f>ROUND(I268*H268,2)</f>
        <v>0</v>
      </c>
      <c r="K268" s="119" t="s">
        <v>7</v>
      </c>
      <c r="L268" s="118"/>
      <c r="M268" s="117" t="s">
        <v>6</v>
      </c>
      <c r="N268" s="116" t="s">
        <v>5</v>
      </c>
      <c r="P268" s="22">
        <f>O268*H268</f>
        <v>0</v>
      </c>
      <c r="Q268" s="22">
        <v>6.9999999999999999E-4</v>
      </c>
      <c r="R268" s="22">
        <f>Q268*H268</f>
        <v>6.9999999999999999E-4</v>
      </c>
      <c r="S268" s="22">
        <v>0</v>
      </c>
      <c r="T268" s="21">
        <f>S268*H268</f>
        <v>0</v>
      </c>
      <c r="AR268" s="6" t="s">
        <v>283</v>
      </c>
      <c r="AT268" s="6" t="s">
        <v>750</v>
      </c>
      <c r="AU268" s="6" t="s">
        <v>365</v>
      </c>
      <c r="AY268" s="7" t="s">
        <v>3</v>
      </c>
      <c r="BE268" s="8">
        <f>IF(N268="základní",J268,0)</f>
        <v>0</v>
      </c>
      <c r="BF268" s="8">
        <f>IF(N268="snížená",J268,0)</f>
        <v>0</v>
      </c>
      <c r="BG268" s="8">
        <f>IF(N268="zákl. přenesená",J268,0)</f>
        <v>0</v>
      </c>
      <c r="BH268" s="8">
        <f>IF(N268="sníž. přenesená",J268,0)</f>
        <v>0</v>
      </c>
      <c r="BI268" s="8">
        <f>IF(N268="nulová",J268,0)</f>
        <v>0</v>
      </c>
      <c r="BJ268" s="7" t="s">
        <v>2</v>
      </c>
      <c r="BK268" s="8">
        <f>ROUND(I268*H268,2)</f>
        <v>0</v>
      </c>
      <c r="BL268" s="7" t="s">
        <v>328</v>
      </c>
      <c r="BM268" s="6" t="s">
        <v>934</v>
      </c>
    </row>
    <row r="269" spans="2:65" s="2" customFormat="1" ht="16.5" customHeight="1">
      <c r="B269" s="3"/>
      <c r="C269" s="20" t="s">
        <v>77</v>
      </c>
      <c r="D269" s="20" t="s">
        <v>4</v>
      </c>
      <c r="E269" s="19" t="s">
        <v>933</v>
      </c>
      <c r="F269" s="14" t="s">
        <v>932</v>
      </c>
      <c r="G269" s="18" t="s">
        <v>722</v>
      </c>
      <c r="H269" s="17">
        <v>1</v>
      </c>
      <c r="I269" s="16"/>
      <c r="J269" s="15">
        <f>ROUND(I269*H269,2)</f>
        <v>0</v>
      </c>
      <c r="K269" s="14" t="s">
        <v>654</v>
      </c>
      <c r="L269" s="3"/>
      <c r="M269" s="24" t="s">
        <v>6</v>
      </c>
      <c r="N269" s="23" t="s">
        <v>5</v>
      </c>
      <c r="P269" s="22">
        <f>O269*H269</f>
        <v>0</v>
      </c>
      <c r="Q269" s="22">
        <v>8.0000000000000007E-5</v>
      </c>
      <c r="R269" s="22">
        <f>Q269*H269</f>
        <v>8.0000000000000007E-5</v>
      </c>
      <c r="S269" s="22">
        <v>0</v>
      </c>
      <c r="T269" s="21">
        <f>S269*H269</f>
        <v>0</v>
      </c>
      <c r="AR269" s="6" t="s">
        <v>328</v>
      </c>
      <c r="AT269" s="6" t="s">
        <v>4</v>
      </c>
      <c r="AU269" s="6" t="s">
        <v>365</v>
      </c>
      <c r="AY269" s="7" t="s">
        <v>3</v>
      </c>
      <c r="BE269" s="8">
        <f>IF(N269="základní",J269,0)</f>
        <v>0</v>
      </c>
      <c r="BF269" s="8">
        <f>IF(N269="snížená",J269,0)</f>
        <v>0</v>
      </c>
      <c r="BG269" s="8">
        <f>IF(N269="zákl. přenesená",J269,0)</f>
        <v>0</v>
      </c>
      <c r="BH269" s="8">
        <f>IF(N269="sníž. přenesená",J269,0)</f>
        <v>0</v>
      </c>
      <c r="BI269" s="8">
        <f>IF(N269="nulová",J269,0)</f>
        <v>0</v>
      </c>
      <c r="BJ269" s="7" t="s">
        <v>2</v>
      </c>
      <c r="BK269" s="8">
        <f>ROUND(I269*H269,2)</f>
        <v>0</v>
      </c>
      <c r="BL269" s="7" t="s">
        <v>328</v>
      </c>
      <c r="BM269" s="6" t="s">
        <v>931</v>
      </c>
    </row>
    <row r="270" spans="2:65" s="2" customFormat="1">
      <c r="B270" s="3"/>
      <c r="D270" s="107" t="s">
        <v>651</v>
      </c>
      <c r="F270" s="106" t="s">
        <v>930</v>
      </c>
      <c r="I270" s="94"/>
      <c r="L270" s="3"/>
      <c r="M270" s="100"/>
      <c r="T270" s="99"/>
      <c r="AT270" s="7" t="s">
        <v>651</v>
      </c>
      <c r="AU270" s="7" t="s">
        <v>365</v>
      </c>
    </row>
    <row r="271" spans="2:65" s="2" customFormat="1" ht="16.5" customHeight="1">
      <c r="B271" s="3"/>
      <c r="C271" s="125" t="s">
        <v>73</v>
      </c>
      <c r="D271" s="125" t="s">
        <v>750</v>
      </c>
      <c r="E271" s="124" t="s">
        <v>929</v>
      </c>
      <c r="F271" s="119" t="s">
        <v>928</v>
      </c>
      <c r="G271" s="123" t="s">
        <v>722</v>
      </c>
      <c r="H271" s="122">
        <v>1</v>
      </c>
      <c r="I271" s="121"/>
      <c r="J271" s="120">
        <f>ROUND(I271*H271,2)</f>
        <v>0</v>
      </c>
      <c r="K271" s="119" t="s">
        <v>7</v>
      </c>
      <c r="L271" s="118"/>
      <c r="M271" s="117" t="s">
        <v>6</v>
      </c>
      <c r="N271" s="116" t="s">
        <v>5</v>
      </c>
      <c r="P271" s="22">
        <f>O271*H271</f>
        <v>0</v>
      </c>
      <c r="Q271" s="22">
        <v>2.9999999999999997E-4</v>
      </c>
      <c r="R271" s="22">
        <f>Q271*H271</f>
        <v>2.9999999999999997E-4</v>
      </c>
      <c r="S271" s="22">
        <v>0</v>
      </c>
      <c r="T271" s="21">
        <f>S271*H271</f>
        <v>0</v>
      </c>
      <c r="AR271" s="6" t="s">
        <v>283</v>
      </c>
      <c r="AT271" s="6" t="s">
        <v>750</v>
      </c>
      <c r="AU271" s="6" t="s">
        <v>365</v>
      </c>
      <c r="AY271" s="7" t="s">
        <v>3</v>
      </c>
      <c r="BE271" s="8">
        <f>IF(N271="základní",J271,0)</f>
        <v>0</v>
      </c>
      <c r="BF271" s="8">
        <f>IF(N271="snížená",J271,0)</f>
        <v>0</v>
      </c>
      <c r="BG271" s="8">
        <f>IF(N271="zákl. přenesená",J271,0)</f>
        <v>0</v>
      </c>
      <c r="BH271" s="8">
        <f>IF(N271="sníž. přenesená",J271,0)</f>
        <v>0</v>
      </c>
      <c r="BI271" s="8">
        <f>IF(N271="nulová",J271,0)</f>
        <v>0</v>
      </c>
      <c r="BJ271" s="7" t="s">
        <v>2</v>
      </c>
      <c r="BK271" s="8">
        <f>ROUND(I271*H271,2)</f>
        <v>0</v>
      </c>
      <c r="BL271" s="7" t="s">
        <v>328</v>
      </c>
      <c r="BM271" s="6" t="s">
        <v>927</v>
      </c>
    </row>
    <row r="272" spans="2:65" s="2" customFormat="1" ht="16.5" customHeight="1">
      <c r="B272" s="3"/>
      <c r="C272" s="20" t="s">
        <v>69</v>
      </c>
      <c r="D272" s="20" t="s">
        <v>4</v>
      </c>
      <c r="E272" s="19" t="s">
        <v>922</v>
      </c>
      <c r="F272" s="14" t="s">
        <v>921</v>
      </c>
      <c r="G272" s="18" t="s">
        <v>722</v>
      </c>
      <c r="H272" s="17">
        <v>1</v>
      </c>
      <c r="I272" s="16"/>
      <c r="J272" s="15">
        <f>ROUND(I272*H272,2)</f>
        <v>0</v>
      </c>
      <c r="K272" s="14" t="s">
        <v>654</v>
      </c>
      <c r="L272" s="3"/>
      <c r="M272" s="24" t="s">
        <v>6</v>
      </c>
      <c r="N272" s="23" t="s">
        <v>5</v>
      </c>
      <c r="P272" s="22">
        <f>O272*H272</f>
        <v>0</v>
      </c>
      <c r="Q272" s="22">
        <v>1E-4</v>
      </c>
      <c r="R272" s="22">
        <f>Q272*H272</f>
        <v>1E-4</v>
      </c>
      <c r="S272" s="22">
        <v>0</v>
      </c>
      <c r="T272" s="21">
        <f>S272*H272</f>
        <v>0</v>
      </c>
      <c r="AR272" s="6" t="s">
        <v>328</v>
      </c>
      <c r="AT272" s="6" t="s">
        <v>4</v>
      </c>
      <c r="AU272" s="6" t="s">
        <v>365</v>
      </c>
      <c r="AY272" s="7" t="s">
        <v>3</v>
      </c>
      <c r="BE272" s="8">
        <f>IF(N272="základní",J272,0)</f>
        <v>0</v>
      </c>
      <c r="BF272" s="8">
        <f>IF(N272="snížená",J272,0)</f>
        <v>0</v>
      </c>
      <c r="BG272" s="8">
        <f>IF(N272="zákl. přenesená",J272,0)</f>
        <v>0</v>
      </c>
      <c r="BH272" s="8">
        <f>IF(N272="sníž. přenesená",J272,0)</f>
        <v>0</v>
      </c>
      <c r="BI272" s="8">
        <f>IF(N272="nulová",J272,0)</f>
        <v>0</v>
      </c>
      <c r="BJ272" s="7" t="s">
        <v>2</v>
      </c>
      <c r="BK272" s="8">
        <f>ROUND(I272*H272,2)</f>
        <v>0</v>
      </c>
      <c r="BL272" s="7" t="s">
        <v>328</v>
      </c>
      <c r="BM272" s="6" t="s">
        <v>926</v>
      </c>
    </row>
    <row r="273" spans="2:65" s="2" customFormat="1">
      <c r="B273" s="3"/>
      <c r="D273" s="107" t="s">
        <v>651</v>
      </c>
      <c r="F273" s="106" t="s">
        <v>919</v>
      </c>
      <c r="I273" s="94"/>
      <c r="L273" s="3"/>
      <c r="M273" s="100"/>
      <c r="T273" s="99"/>
      <c r="AT273" s="7" t="s">
        <v>651</v>
      </c>
      <c r="AU273" s="7" t="s">
        <v>365</v>
      </c>
    </row>
    <row r="274" spans="2:65" s="2" customFormat="1" ht="16.5" customHeight="1">
      <c r="B274" s="3"/>
      <c r="C274" s="125" t="s">
        <v>65</v>
      </c>
      <c r="D274" s="125" t="s">
        <v>750</v>
      </c>
      <c r="E274" s="124" t="s">
        <v>925</v>
      </c>
      <c r="F274" s="119" t="s">
        <v>924</v>
      </c>
      <c r="G274" s="123" t="s">
        <v>722</v>
      </c>
      <c r="H274" s="122">
        <v>1</v>
      </c>
      <c r="I274" s="121"/>
      <c r="J274" s="120">
        <f>ROUND(I274*H274,2)</f>
        <v>0</v>
      </c>
      <c r="K274" s="119" t="s">
        <v>7</v>
      </c>
      <c r="L274" s="118"/>
      <c r="M274" s="117" t="s">
        <v>6</v>
      </c>
      <c r="N274" s="116" t="s">
        <v>5</v>
      </c>
      <c r="P274" s="22">
        <f>O274*H274</f>
        <v>0</v>
      </c>
      <c r="Q274" s="22">
        <v>2.9999999999999997E-4</v>
      </c>
      <c r="R274" s="22">
        <f>Q274*H274</f>
        <v>2.9999999999999997E-4</v>
      </c>
      <c r="S274" s="22">
        <v>0</v>
      </c>
      <c r="T274" s="21">
        <f>S274*H274</f>
        <v>0</v>
      </c>
      <c r="AR274" s="6" t="s">
        <v>283</v>
      </c>
      <c r="AT274" s="6" t="s">
        <v>750</v>
      </c>
      <c r="AU274" s="6" t="s">
        <v>365</v>
      </c>
      <c r="AY274" s="7" t="s">
        <v>3</v>
      </c>
      <c r="BE274" s="8">
        <f>IF(N274="základní",J274,0)</f>
        <v>0</v>
      </c>
      <c r="BF274" s="8">
        <f>IF(N274="snížená",J274,0)</f>
        <v>0</v>
      </c>
      <c r="BG274" s="8">
        <f>IF(N274="zákl. přenesená",J274,0)</f>
        <v>0</v>
      </c>
      <c r="BH274" s="8">
        <f>IF(N274="sníž. přenesená",J274,0)</f>
        <v>0</v>
      </c>
      <c r="BI274" s="8">
        <f>IF(N274="nulová",J274,0)</f>
        <v>0</v>
      </c>
      <c r="BJ274" s="7" t="s">
        <v>2</v>
      </c>
      <c r="BK274" s="8">
        <f>ROUND(I274*H274,2)</f>
        <v>0</v>
      </c>
      <c r="BL274" s="7" t="s">
        <v>328</v>
      </c>
      <c r="BM274" s="6" t="s">
        <v>923</v>
      </c>
    </row>
    <row r="275" spans="2:65" s="2" customFormat="1" ht="16.5" customHeight="1">
      <c r="B275" s="3"/>
      <c r="C275" s="20" t="s">
        <v>61</v>
      </c>
      <c r="D275" s="20" t="s">
        <v>4</v>
      </c>
      <c r="E275" s="19" t="s">
        <v>922</v>
      </c>
      <c r="F275" s="14" t="s">
        <v>921</v>
      </c>
      <c r="G275" s="18" t="s">
        <v>722</v>
      </c>
      <c r="H275" s="17">
        <v>1</v>
      </c>
      <c r="I275" s="16"/>
      <c r="J275" s="15">
        <f>ROUND(I275*H275,2)</f>
        <v>0</v>
      </c>
      <c r="K275" s="14" t="s">
        <v>654</v>
      </c>
      <c r="L275" s="3"/>
      <c r="M275" s="24" t="s">
        <v>6</v>
      </c>
      <c r="N275" s="23" t="s">
        <v>5</v>
      </c>
      <c r="P275" s="22">
        <f>O275*H275</f>
        <v>0</v>
      </c>
      <c r="Q275" s="22">
        <v>1E-4</v>
      </c>
      <c r="R275" s="22">
        <f>Q275*H275</f>
        <v>1E-4</v>
      </c>
      <c r="S275" s="22">
        <v>0</v>
      </c>
      <c r="T275" s="21">
        <f>S275*H275</f>
        <v>0</v>
      </c>
      <c r="AR275" s="6" t="s">
        <v>328</v>
      </c>
      <c r="AT275" s="6" t="s">
        <v>4</v>
      </c>
      <c r="AU275" s="6" t="s">
        <v>365</v>
      </c>
      <c r="AY275" s="7" t="s">
        <v>3</v>
      </c>
      <c r="BE275" s="8">
        <f>IF(N275="základní",J275,0)</f>
        <v>0</v>
      </c>
      <c r="BF275" s="8">
        <f>IF(N275="snížená",J275,0)</f>
        <v>0</v>
      </c>
      <c r="BG275" s="8">
        <f>IF(N275="zákl. přenesená",J275,0)</f>
        <v>0</v>
      </c>
      <c r="BH275" s="8">
        <f>IF(N275="sníž. přenesená",J275,0)</f>
        <v>0</v>
      </c>
      <c r="BI275" s="8">
        <f>IF(N275="nulová",J275,0)</f>
        <v>0</v>
      </c>
      <c r="BJ275" s="7" t="s">
        <v>2</v>
      </c>
      <c r="BK275" s="8">
        <f>ROUND(I275*H275,2)</f>
        <v>0</v>
      </c>
      <c r="BL275" s="7" t="s">
        <v>328</v>
      </c>
      <c r="BM275" s="6" t="s">
        <v>920</v>
      </c>
    </row>
    <row r="276" spans="2:65" s="2" customFormat="1">
      <c r="B276" s="3"/>
      <c r="D276" s="107" t="s">
        <v>651</v>
      </c>
      <c r="F276" s="106" t="s">
        <v>919</v>
      </c>
      <c r="I276" s="94"/>
      <c r="L276" s="3"/>
      <c r="M276" s="100"/>
      <c r="T276" s="99"/>
      <c r="AT276" s="7" t="s">
        <v>651</v>
      </c>
      <c r="AU276" s="7" t="s">
        <v>365</v>
      </c>
    </row>
    <row r="277" spans="2:65" s="2" customFormat="1" ht="21.75" customHeight="1">
      <c r="B277" s="3"/>
      <c r="C277" s="125" t="s">
        <v>57</v>
      </c>
      <c r="D277" s="125" t="s">
        <v>750</v>
      </c>
      <c r="E277" s="124" t="s">
        <v>918</v>
      </c>
      <c r="F277" s="119" t="s">
        <v>917</v>
      </c>
      <c r="G277" s="123" t="s">
        <v>722</v>
      </c>
      <c r="H277" s="122">
        <v>1</v>
      </c>
      <c r="I277" s="121"/>
      <c r="J277" s="120">
        <f>ROUND(I277*H277,2)</f>
        <v>0</v>
      </c>
      <c r="K277" s="119" t="s">
        <v>7</v>
      </c>
      <c r="L277" s="118"/>
      <c r="M277" s="117" t="s">
        <v>6</v>
      </c>
      <c r="N277" s="116" t="s">
        <v>5</v>
      </c>
      <c r="P277" s="22">
        <f>O277*H277</f>
        <v>0</v>
      </c>
      <c r="Q277" s="22">
        <v>5.0000000000000001E-4</v>
      </c>
      <c r="R277" s="22">
        <f>Q277*H277</f>
        <v>5.0000000000000001E-4</v>
      </c>
      <c r="S277" s="22">
        <v>0</v>
      </c>
      <c r="T277" s="21">
        <f>S277*H277</f>
        <v>0</v>
      </c>
      <c r="AR277" s="6" t="s">
        <v>283</v>
      </c>
      <c r="AT277" s="6" t="s">
        <v>750</v>
      </c>
      <c r="AU277" s="6" t="s">
        <v>365</v>
      </c>
      <c r="AY277" s="7" t="s">
        <v>3</v>
      </c>
      <c r="BE277" s="8">
        <f>IF(N277="základní",J277,0)</f>
        <v>0</v>
      </c>
      <c r="BF277" s="8">
        <f>IF(N277="snížená",J277,0)</f>
        <v>0</v>
      </c>
      <c r="BG277" s="8">
        <f>IF(N277="zákl. přenesená",J277,0)</f>
        <v>0</v>
      </c>
      <c r="BH277" s="8">
        <f>IF(N277="sníž. přenesená",J277,0)</f>
        <v>0</v>
      </c>
      <c r="BI277" s="8">
        <f>IF(N277="nulová",J277,0)</f>
        <v>0</v>
      </c>
      <c r="BJ277" s="7" t="s">
        <v>2</v>
      </c>
      <c r="BK277" s="8">
        <f>ROUND(I277*H277,2)</f>
        <v>0</v>
      </c>
      <c r="BL277" s="7" t="s">
        <v>328</v>
      </c>
      <c r="BM277" s="6" t="s">
        <v>916</v>
      </c>
    </row>
    <row r="278" spans="2:65" s="2" customFormat="1" ht="16.5" customHeight="1">
      <c r="B278" s="3"/>
      <c r="C278" s="20" t="s">
        <v>51</v>
      </c>
      <c r="D278" s="20" t="s">
        <v>4</v>
      </c>
      <c r="E278" s="19" t="s">
        <v>915</v>
      </c>
      <c r="F278" s="14" t="s">
        <v>914</v>
      </c>
      <c r="G278" s="18" t="s">
        <v>722</v>
      </c>
      <c r="H278" s="17">
        <v>4</v>
      </c>
      <c r="I278" s="16"/>
      <c r="J278" s="15">
        <f>ROUND(I278*H278,2)</f>
        <v>0</v>
      </c>
      <c r="K278" s="14" t="s">
        <v>654</v>
      </c>
      <c r="L278" s="3"/>
      <c r="M278" s="24" t="s">
        <v>6</v>
      </c>
      <c r="N278" s="23" t="s">
        <v>5</v>
      </c>
      <c r="P278" s="22">
        <f>O278*H278</f>
        <v>0</v>
      </c>
      <c r="Q278" s="22">
        <v>1.3999999999999999E-4</v>
      </c>
      <c r="R278" s="22">
        <f>Q278*H278</f>
        <v>5.5999999999999995E-4</v>
      </c>
      <c r="S278" s="22">
        <v>0</v>
      </c>
      <c r="T278" s="21">
        <f>S278*H278</f>
        <v>0</v>
      </c>
      <c r="AR278" s="6" t="s">
        <v>328</v>
      </c>
      <c r="AT278" s="6" t="s">
        <v>4</v>
      </c>
      <c r="AU278" s="6" t="s">
        <v>365</v>
      </c>
      <c r="AY278" s="7" t="s">
        <v>3</v>
      </c>
      <c r="BE278" s="8">
        <f>IF(N278="základní",J278,0)</f>
        <v>0</v>
      </c>
      <c r="BF278" s="8">
        <f>IF(N278="snížená",J278,0)</f>
        <v>0</v>
      </c>
      <c r="BG278" s="8">
        <f>IF(N278="zákl. přenesená",J278,0)</f>
        <v>0</v>
      </c>
      <c r="BH278" s="8">
        <f>IF(N278="sníž. přenesená",J278,0)</f>
        <v>0</v>
      </c>
      <c r="BI278" s="8">
        <f>IF(N278="nulová",J278,0)</f>
        <v>0</v>
      </c>
      <c r="BJ278" s="7" t="s">
        <v>2</v>
      </c>
      <c r="BK278" s="8">
        <f>ROUND(I278*H278,2)</f>
        <v>0</v>
      </c>
      <c r="BL278" s="7" t="s">
        <v>328</v>
      </c>
      <c r="BM278" s="6" t="s">
        <v>913</v>
      </c>
    </row>
    <row r="279" spans="2:65" s="2" customFormat="1">
      <c r="B279" s="3"/>
      <c r="D279" s="107" t="s">
        <v>651</v>
      </c>
      <c r="F279" s="106" t="s">
        <v>912</v>
      </c>
      <c r="I279" s="94"/>
      <c r="L279" s="3"/>
      <c r="M279" s="100"/>
      <c r="T279" s="99"/>
      <c r="AT279" s="7" t="s">
        <v>651</v>
      </c>
      <c r="AU279" s="7" t="s">
        <v>365</v>
      </c>
    </row>
    <row r="280" spans="2:65" s="2" customFormat="1" ht="16.5" customHeight="1">
      <c r="B280" s="3"/>
      <c r="C280" s="125" t="s">
        <v>47</v>
      </c>
      <c r="D280" s="125" t="s">
        <v>750</v>
      </c>
      <c r="E280" s="124" t="s">
        <v>911</v>
      </c>
      <c r="F280" s="119" t="s">
        <v>910</v>
      </c>
      <c r="G280" s="123" t="s">
        <v>722</v>
      </c>
      <c r="H280" s="122">
        <v>4</v>
      </c>
      <c r="I280" s="121"/>
      <c r="J280" s="120">
        <f>ROUND(I280*H280,2)</f>
        <v>0</v>
      </c>
      <c r="K280" s="119" t="s">
        <v>7</v>
      </c>
      <c r="L280" s="118"/>
      <c r="M280" s="117" t="s">
        <v>6</v>
      </c>
      <c r="N280" s="116" t="s">
        <v>5</v>
      </c>
      <c r="P280" s="22">
        <f>O280*H280</f>
        <v>0</v>
      </c>
      <c r="Q280" s="22">
        <v>8.0000000000000004E-4</v>
      </c>
      <c r="R280" s="22">
        <f>Q280*H280</f>
        <v>3.2000000000000002E-3</v>
      </c>
      <c r="S280" s="22">
        <v>0</v>
      </c>
      <c r="T280" s="21">
        <f>S280*H280</f>
        <v>0</v>
      </c>
      <c r="AR280" s="6" t="s">
        <v>283</v>
      </c>
      <c r="AT280" s="6" t="s">
        <v>750</v>
      </c>
      <c r="AU280" s="6" t="s">
        <v>365</v>
      </c>
      <c r="AY280" s="7" t="s">
        <v>3</v>
      </c>
      <c r="BE280" s="8">
        <f>IF(N280="základní",J280,0)</f>
        <v>0</v>
      </c>
      <c r="BF280" s="8">
        <f>IF(N280="snížená",J280,0)</f>
        <v>0</v>
      </c>
      <c r="BG280" s="8">
        <f>IF(N280="zákl. přenesená",J280,0)</f>
        <v>0</v>
      </c>
      <c r="BH280" s="8">
        <f>IF(N280="sníž. přenesená",J280,0)</f>
        <v>0</v>
      </c>
      <c r="BI280" s="8">
        <f>IF(N280="nulová",J280,0)</f>
        <v>0</v>
      </c>
      <c r="BJ280" s="7" t="s">
        <v>2</v>
      </c>
      <c r="BK280" s="8">
        <f>ROUND(I280*H280,2)</f>
        <v>0</v>
      </c>
      <c r="BL280" s="7" t="s">
        <v>328</v>
      </c>
      <c r="BM280" s="6" t="s">
        <v>909</v>
      </c>
    </row>
    <row r="281" spans="2:65" s="2" customFormat="1" ht="16.5" customHeight="1">
      <c r="B281" s="3"/>
      <c r="C281" s="20" t="s">
        <v>43</v>
      </c>
      <c r="D281" s="20" t="s">
        <v>4</v>
      </c>
      <c r="E281" s="19" t="s">
        <v>908</v>
      </c>
      <c r="F281" s="14" t="s">
        <v>907</v>
      </c>
      <c r="G281" s="18" t="s">
        <v>722</v>
      </c>
      <c r="H281" s="17">
        <v>3</v>
      </c>
      <c r="I281" s="16"/>
      <c r="J281" s="15">
        <f>ROUND(I281*H281,2)</f>
        <v>0</v>
      </c>
      <c r="K281" s="14" t="s">
        <v>654</v>
      </c>
      <c r="L281" s="3"/>
      <c r="M281" s="24" t="s">
        <v>6</v>
      </c>
      <c r="N281" s="23" t="s">
        <v>5</v>
      </c>
      <c r="P281" s="22">
        <f>O281*H281</f>
        <v>0</v>
      </c>
      <c r="Q281" s="22">
        <v>2.2000000000000001E-4</v>
      </c>
      <c r="R281" s="22">
        <f>Q281*H281</f>
        <v>6.6E-4</v>
      </c>
      <c r="S281" s="22">
        <v>0</v>
      </c>
      <c r="T281" s="21">
        <f>S281*H281</f>
        <v>0</v>
      </c>
      <c r="AR281" s="6" t="s">
        <v>328</v>
      </c>
      <c r="AT281" s="6" t="s">
        <v>4</v>
      </c>
      <c r="AU281" s="6" t="s">
        <v>365</v>
      </c>
      <c r="AY281" s="7" t="s">
        <v>3</v>
      </c>
      <c r="BE281" s="8">
        <f>IF(N281="základní",J281,0)</f>
        <v>0</v>
      </c>
      <c r="BF281" s="8">
        <f>IF(N281="snížená",J281,0)</f>
        <v>0</v>
      </c>
      <c r="BG281" s="8">
        <f>IF(N281="zákl. přenesená",J281,0)</f>
        <v>0</v>
      </c>
      <c r="BH281" s="8">
        <f>IF(N281="sníž. přenesená",J281,0)</f>
        <v>0</v>
      </c>
      <c r="BI281" s="8">
        <f>IF(N281="nulová",J281,0)</f>
        <v>0</v>
      </c>
      <c r="BJ281" s="7" t="s">
        <v>2</v>
      </c>
      <c r="BK281" s="8">
        <f>ROUND(I281*H281,2)</f>
        <v>0</v>
      </c>
      <c r="BL281" s="7" t="s">
        <v>328</v>
      </c>
      <c r="BM281" s="6" t="s">
        <v>906</v>
      </c>
    </row>
    <row r="282" spans="2:65" s="2" customFormat="1">
      <c r="B282" s="3"/>
      <c r="D282" s="107" t="s">
        <v>651</v>
      </c>
      <c r="F282" s="106" t="s">
        <v>905</v>
      </c>
      <c r="I282" s="94"/>
      <c r="L282" s="3"/>
      <c r="M282" s="100"/>
      <c r="T282" s="99"/>
      <c r="AT282" s="7" t="s">
        <v>651</v>
      </c>
      <c r="AU282" s="7" t="s">
        <v>365</v>
      </c>
    </row>
    <row r="283" spans="2:65" s="2" customFormat="1" ht="16.5" customHeight="1">
      <c r="B283" s="3"/>
      <c r="C283" s="125" t="s">
        <v>40</v>
      </c>
      <c r="D283" s="125" t="s">
        <v>750</v>
      </c>
      <c r="E283" s="124" t="s">
        <v>904</v>
      </c>
      <c r="F283" s="119" t="s">
        <v>903</v>
      </c>
      <c r="G283" s="123" t="s">
        <v>722</v>
      </c>
      <c r="H283" s="122">
        <v>3</v>
      </c>
      <c r="I283" s="121"/>
      <c r="J283" s="120">
        <f>ROUND(I283*H283,2)</f>
        <v>0</v>
      </c>
      <c r="K283" s="119" t="s">
        <v>7</v>
      </c>
      <c r="L283" s="118"/>
      <c r="M283" s="117" t="s">
        <v>6</v>
      </c>
      <c r="N283" s="116" t="s">
        <v>5</v>
      </c>
      <c r="P283" s="22">
        <f>O283*H283</f>
        <v>0</v>
      </c>
      <c r="Q283" s="22">
        <v>6.9999999999999999E-4</v>
      </c>
      <c r="R283" s="22">
        <f>Q283*H283</f>
        <v>2.0999999999999999E-3</v>
      </c>
      <c r="S283" s="22">
        <v>0</v>
      </c>
      <c r="T283" s="21">
        <f>S283*H283</f>
        <v>0</v>
      </c>
      <c r="AR283" s="6" t="s">
        <v>283</v>
      </c>
      <c r="AT283" s="6" t="s">
        <v>750</v>
      </c>
      <c r="AU283" s="6" t="s">
        <v>365</v>
      </c>
      <c r="AY283" s="7" t="s">
        <v>3</v>
      </c>
      <c r="BE283" s="8">
        <f>IF(N283="základní",J283,0)</f>
        <v>0</v>
      </c>
      <c r="BF283" s="8">
        <f>IF(N283="snížená",J283,0)</f>
        <v>0</v>
      </c>
      <c r="BG283" s="8">
        <f>IF(N283="zákl. přenesená",J283,0)</f>
        <v>0</v>
      </c>
      <c r="BH283" s="8">
        <f>IF(N283="sníž. přenesená",J283,0)</f>
        <v>0</v>
      </c>
      <c r="BI283" s="8">
        <f>IF(N283="nulová",J283,0)</f>
        <v>0</v>
      </c>
      <c r="BJ283" s="7" t="s">
        <v>2</v>
      </c>
      <c r="BK283" s="8">
        <f>ROUND(I283*H283,2)</f>
        <v>0</v>
      </c>
      <c r="BL283" s="7" t="s">
        <v>328</v>
      </c>
      <c r="BM283" s="6" t="s">
        <v>902</v>
      </c>
    </row>
    <row r="284" spans="2:65" s="2" customFormat="1" ht="16.5" customHeight="1">
      <c r="B284" s="3"/>
      <c r="C284" s="20" t="s">
        <v>37</v>
      </c>
      <c r="D284" s="20" t="s">
        <v>4</v>
      </c>
      <c r="E284" s="19" t="s">
        <v>901</v>
      </c>
      <c r="F284" s="14" t="s">
        <v>877</v>
      </c>
      <c r="G284" s="18" t="s">
        <v>722</v>
      </c>
      <c r="H284" s="17">
        <v>3</v>
      </c>
      <c r="I284" s="16"/>
      <c r="J284" s="15">
        <f>ROUND(I284*H284,2)</f>
        <v>0</v>
      </c>
      <c r="K284" s="14" t="s">
        <v>7</v>
      </c>
      <c r="L284" s="3"/>
      <c r="M284" s="24" t="s">
        <v>6</v>
      </c>
      <c r="N284" s="23" t="s">
        <v>5</v>
      </c>
      <c r="P284" s="22">
        <f>O284*H284</f>
        <v>0</v>
      </c>
      <c r="Q284" s="22">
        <v>0</v>
      </c>
      <c r="R284" s="22">
        <f>Q284*H284</f>
        <v>0</v>
      </c>
      <c r="S284" s="22">
        <v>0</v>
      </c>
      <c r="T284" s="21">
        <f>S284*H284</f>
        <v>0</v>
      </c>
      <c r="AR284" s="6" t="s">
        <v>328</v>
      </c>
      <c r="AT284" s="6" t="s">
        <v>4</v>
      </c>
      <c r="AU284" s="6" t="s">
        <v>365</v>
      </c>
      <c r="AY284" s="7" t="s">
        <v>3</v>
      </c>
      <c r="BE284" s="8">
        <f>IF(N284="základní",J284,0)</f>
        <v>0</v>
      </c>
      <c r="BF284" s="8">
        <f>IF(N284="snížená",J284,0)</f>
        <v>0</v>
      </c>
      <c r="BG284" s="8">
        <f>IF(N284="zákl. přenesená",J284,0)</f>
        <v>0</v>
      </c>
      <c r="BH284" s="8">
        <f>IF(N284="sníž. přenesená",J284,0)</f>
        <v>0</v>
      </c>
      <c r="BI284" s="8">
        <f>IF(N284="nulová",J284,0)</f>
        <v>0</v>
      </c>
      <c r="BJ284" s="7" t="s">
        <v>2</v>
      </c>
      <c r="BK284" s="8">
        <f>ROUND(I284*H284,2)</f>
        <v>0</v>
      </c>
      <c r="BL284" s="7" t="s">
        <v>328</v>
      </c>
      <c r="BM284" s="6" t="s">
        <v>900</v>
      </c>
    </row>
    <row r="285" spans="2:65" s="2" customFormat="1" ht="24.2" customHeight="1">
      <c r="B285" s="3"/>
      <c r="C285" s="125" t="s">
        <v>33</v>
      </c>
      <c r="D285" s="125" t="s">
        <v>750</v>
      </c>
      <c r="E285" s="124" t="s">
        <v>899</v>
      </c>
      <c r="F285" s="119" t="s">
        <v>873</v>
      </c>
      <c r="G285" s="123" t="s">
        <v>714</v>
      </c>
      <c r="H285" s="122">
        <v>3</v>
      </c>
      <c r="I285" s="121"/>
      <c r="J285" s="120">
        <f>ROUND(I285*H285,2)</f>
        <v>0</v>
      </c>
      <c r="K285" s="119" t="s">
        <v>7</v>
      </c>
      <c r="L285" s="118"/>
      <c r="M285" s="117" t="s">
        <v>6</v>
      </c>
      <c r="N285" s="116" t="s">
        <v>5</v>
      </c>
      <c r="P285" s="22">
        <f>O285*H285</f>
        <v>0</v>
      </c>
      <c r="Q285" s="22">
        <v>1E-3</v>
      </c>
      <c r="R285" s="22">
        <f>Q285*H285</f>
        <v>3.0000000000000001E-3</v>
      </c>
      <c r="S285" s="22">
        <v>0</v>
      </c>
      <c r="T285" s="21">
        <f>S285*H285</f>
        <v>0</v>
      </c>
      <c r="AR285" s="6" t="s">
        <v>283</v>
      </c>
      <c r="AT285" s="6" t="s">
        <v>750</v>
      </c>
      <c r="AU285" s="6" t="s">
        <v>365</v>
      </c>
      <c r="AY285" s="7" t="s">
        <v>3</v>
      </c>
      <c r="BE285" s="8">
        <f>IF(N285="základní",J285,0)</f>
        <v>0</v>
      </c>
      <c r="BF285" s="8">
        <f>IF(N285="snížená",J285,0)</f>
        <v>0</v>
      </c>
      <c r="BG285" s="8">
        <f>IF(N285="zákl. přenesená",J285,0)</f>
        <v>0</v>
      </c>
      <c r="BH285" s="8">
        <f>IF(N285="sníž. přenesená",J285,0)</f>
        <v>0</v>
      </c>
      <c r="BI285" s="8">
        <f>IF(N285="nulová",J285,0)</f>
        <v>0</v>
      </c>
      <c r="BJ285" s="7" t="s">
        <v>2</v>
      </c>
      <c r="BK285" s="8">
        <f>ROUND(I285*H285,2)</f>
        <v>0</v>
      </c>
      <c r="BL285" s="7" t="s">
        <v>328</v>
      </c>
      <c r="BM285" s="6" t="s">
        <v>898</v>
      </c>
    </row>
    <row r="286" spans="2:65" s="2" customFormat="1" ht="16.5" customHeight="1">
      <c r="B286" s="3"/>
      <c r="C286" s="20" t="s">
        <v>24</v>
      </c>
      <c r="D286" s="20" t="s">
        <v>4</v>
      </c>
      <c r="E286" s="19" t="s">
        <v>893</v>
      </c>
      <c r="F286" s="14" t="s">
        <v>892</v>
      </c>
      <c r="G286" s="18" t="s">
        <v>722</v>
      </c>
      <c r="H286" s="17">
        <v>2</v>
      </c>
      <c r="I286" s="16"/>
      <c r="J286" s="15">
        <f>ROUND(I286*H286,2)</f>
        <v>0</v>
      </c>
      <c r="K286" s="14" t="s">
        <v>654</v>
      </c>
      <c r="L286" s="3"/>
      <c r="M286" s="24" t="s">
        <v>6</v>
      </c>
      <c r="N286" s="23" t="s">
        <v>5</v>
      </c>
      <c r="P286" s="22">
        <f>O286*H286</f>
        <v>0</v>
      </c>
      <c r="Q286" s="22">
        <v>2.1000000000000001E-4</v>
      </c>
      <c r="R286" s="22">
        <f>Q286*H286</f>
        <v>4.2000000000000002E-4</v>
      </c>
      <c r="S286" s="22">
        <v>0</v>
      </c>
      <c r="T286" s="21">
        <f>S286*H286</f>
        <v>0</v>
      </c>
      <c r="AR286" s="6" t="s">
        <v>328</v>
      </c>
      <c r="AT286" s="6" t="s">
        <v>4</v>
      </c>
      <c r="AU286" s="6" t="s">
        <v>365</v>
      </c>
      <c r="AY286" s="7" t="s">
        <v>3</v>
      </c>
      <c r="BE286" s="8">
        <f>IF(N286="základní",J286,0)</f>
        <v>0</v>
      </c>
      <c r="BF286" s="8">
        <f>IF(N286="snížená",J286,0)</f>
        <v>0</v>
      </c>
      <c r="BG286" s="8">
        <f>IF(N286="zákl. přenesená",J286,0)</f>
        <v>0</v>
      </c>
      <c r="BH286" s="8">
        <f>IF(N286="sníž. přenesená",J286,0)</f>
        <v>0</v>
      </c>
      <c r="BI286" s="8">
        <f>IF(N286="nulová",J286,0)</f>
        <v>0</v>
      </c>
      <c r="BJ286" s="7" t="s">
        <v>2</v>
      </c>
      <c r="BK286" s="8">
        <f>ROUND(I286*H286,2)</f>
        <v>0</v>
      </c>
      <c r="BL286" s="7" t="s">
        <v>328</v>
      </c>
      <c r="BM286" s="6" t="s">
        <v>897</v>
      </c>
    </row>
    <row r="287" spans="2:65" s="2" customFormat="1">
      <c r="B287" s="3"/>
      <c r="D287" s="107" t="s">
        <v>651</v>
      </c>
      <c r="F287" s="106" t="s">
        <v>890</v>
      </c>
      <c r="I287" s="94"/>
      <c r="L287" s="3"/>
      <c r="M287" s="100"/>
      <c r="T287" s="99"/>
      <c r="AT287" s="7" t="s">
        <v>651</v>
      </c>
      <c r="AU287" s="7" t="s">
        <v>365</v>
      </c>
    </row>
    <row r="288" spans="2:65" s="2" customFormat="1" ht="16.5" customHeight="1">
      <c r="B288" s="3"/>
      <c r="C288" s="125" t="s">
        <v>19</v>
      </c>
      <c r="D288" s="125" t="s">
        <v>750</v>
      </c>
      <c r="E288" s="124" t="s">
        <v>896</v>
      </c>
      <c r="F288" s="119" t="s">
        <v>895</v>
      </c>
      <c r="G288" s="123" t="s">
        <v>722</v>
      </c>
      <c r="H288" s="122">
        <v>2</v>
      </c>
      <c r="I288" s="121"/>
      <c r="J288" s="120">
        <f>ROUND(I288*H288,2)</f>
        <v>0</v>
      </c>
      <c r="K288" s="119" t="s">
        <v>7</v>
      </c>
      <c r="L288" s="118"/>
      <c r="M288" s="117" t="s">
        <v>6</v>
      </c>
      <c r="N288" s="116" t="s">
        <v>5</v>
      </c>
      <c r="P288" s="22">
        <f>O288*H288</f>
        <v>0</v>
      </c>
      <c r="Q288" s="22">
        <v>1E-3</v>
      </c>
      <c r="R288" s="22">
        <f>Q288*H288</f>
        <v>2E-3</v>
      </c>
      <c r="S288" s="22">
        <v>0</v>
      </c>
      <c r="T288" s="21">
        <f>S288*H288</f>
        <v>0</v>
      </c>
      <c r="AR288" s="6" t="s">
        <v>283</v>
      </c>
      <c r="AT288" s="6" t="s">
        <v>750</v>
      </c>
      <c r="AU288" s="6" t="s">
        <v>365</v>
      </c>
      <c r="AY288" s="7" t="s">
        <v>3</v>
      </c>
      <c r="BE288" s="8">
        <f>IF(N288="základní",J288,0)</f>
        <v>0</v>
      </c>
      <c r="BF288" s="8">
        <f>IF(N288="snížená",J288,0)</f>
        <v>0</v>
      </c>
      <c r="BG288" s="8">
        <f>IF(N288="zákl. přenesená",J288,0)</f>
        <v>0</v>
      </c>
      <c r="BH288" s="8">
        <f>IF(N288="sníž. přenesená",J288,0)</f>
        <v>0</v>
      </c>
      <c r="BI288" s="8">
        <f>IF(N288="nulová",J288,0)</f>
        <v>0</v>
      </c>
      <c r="BJ288" s="7" t="s">
        <v>2</v>
      </c>
      <c r="BK288" s="8">
        <f>ROUND(I288*H288,2)</f>
        <v>0</v>
      </c>
      <c r="BL288" s="7" t="s">
        <v>328</v>
      </c>
      <c r="BM288" s="6" t="s">
        <v>894</v>
      </c>
    </row>
    <row r="289" spans="2:65" s="2" customFormat="1" ht="16.5" customHeight="1">
      <c r="B289" s="3"/>
      <c r="C289" s="20" t="s">
        <v>15</v>
      </c>
      <c r="D289" s="20" t="s">
        <v>4</v>
      </c>
      <c r="E289" s="19" t="s">
        <v>893</v>
      </c>
      <c r="F289" s="14" t="s">
        <v>892</v>
      </c>
      <c r="G289" s="18" t="s">
        <v>722</v>
      </c>
      <c r="H289" s="17">
        <v>1</v>
      </c>
      <c r="I289" s="16"/>
      <c r="J289" s="15">
        <f>ROUND(I289*H289,2)</f>
        <v>0</v>
      </c>
      <c r="K289" s="14" t="s">
        <v>654</v>
      </c>
      <c r="L289" s="3"/>
      <c r="M289" s="24" t="s">
        <v>6</v>
      </c>
      <c r="N289" s="23" t="s">
        <v>5</v>
      </c>
      <c r="P289" s="22">
        <f>O289*H289</f>
        <v>0</v>
      </c>
      <c r="Q289" s="22">
        <v>2.1000000000000001E-4</v>
      </c>
      <c r="R289" s="22">
        <f>Q289*H289</f>
        <v>2.1000000000000001E-4</v>
      </c>
      <c r="S289" s="22">
        <v>0</v>
      </c>
      <c r="T289" s="21">
        <f>S289*H289</f>
        <v>0</v>
      </c>
      <c r="AR289" s="6" t="s">
        <v>328</v>
      </c>
      <c r="AT289" s="6" t="s">
        <v>4</v>
      </c>
      <c r="AU289" s="6" t="s">
        <v>365</v>
      </c>
      <c r="AY289" s="7" t="s">
        <v>3</v>
      </c>
      <c r="BE289" s="8">
        <f>IF(N289="základní",J289,0)</f>
        <v>0</v>
      </c>
      <c r="BF289" s="8">
        <f>IF(N289="snížená",J289,0)</f>
        <v>0</v>
      </c>
      <c r="BG289" s="8">
        <f>IF(N289="zákl. přenesená",J289,0)</f>
        <v>0</v>
      </c>
      <c r="BH289" s="8">
        <f>IF(N289="sníž. přenesená",J289,0)</f>
        <v>0</v>
      </c>
      <c r="BI289" s="8">
        <f>IF(N289="nulová",J289,0)</f>
        <v>0</v>
      </c>
      <c r="BJ289" s="7" t="s">
        <v>2</v>
      </c>
      <c r="BK289" s="8">
        <f>ROUND(I289*H289,2)</f>
        <v>0</v>
      </c>
      <c r="BL289" s="7" t="s">
        <v>328</v>
      </c>
      <c r="BM289" s="6" t="s">
        <v>891</v>
      </c>
    </row>
    <row r="290" spans="2:65" s="2" customFormat="1">
      <c r="B290" s="3"/>
      <c r="D290" s="107" t="s">
        <v>651</v>
      </c>
      <c r="F290" s="106" t="s">
        <v>890</v>
      </c>
      <c r="I290" s="94"/>
      <c r="L290" s="3"/>
      <c r="M290" s="100"/>
      <c r="T290" s="99"/>
      <c r="AT290" s="7" t="s">
        <v>651</v>
      </c>
      <c r="AU290" s="7" t="s">
        <v>365</v>
      </c>
    </row>
    <row r="291" spans="2:65" s="2" customFormat="1" ht="21.75" customHeight="1">
      <c r="B291" s="3"/>
      <c r="C291" s="125" t="s">
        <v>11</v>
      </c>
      <c r="D291" s="125" t="s">
        <v>750</v>
      </c>
      <c r="E291" s="124" t="s">
        <v>889</v>
      </c>
      <c r="F291" s="119" t="s">
        <v>888</v>
      </c>
      <c r="G291" s="123" t="s">
        <v>722</v>
      </c>
      <c r="H291" s="122">
        <v>1</v>
      </c>
      <c r="I291" s="121"/>
      <c r="J291" s="120">
        <f>ROUND(I291*H291,2)</f>
        <v>0</v>
      </c>
      <c r="K291" s="119" t="s">
        <v>7</v>
      </c>
      <c r="L291" s="118"/>
      <c r="M291" s="117" t="s">
        <v>6</v>
      </c>
      <c r="N291" s="116" t="s">
        <v>5</v>
      </c>
      <c r="P291" s="22">
        <f>O291*H291</f>
        <v>0</v>
      </c>
      <c r="Q291" s="22">
        <v>1.2999999999999999E-3</v>
      </c>
      <c r="R291" s="22">
        <f>Q291*H291</f>
        <v>1.2999999999999999E-3</v>
      </c>
      <c r="S291" s="22">
        <v>0</v>
      </c>
      <c r="T291" s="21">
        <f>S291*H291</f>
        <v>0</v>
      </c>
      <c r="AR291" s="6" t="s">
        <v>283</v>
      </c>
      <c r="AT291" s="6" t="s">
        <v>750</v>
      </c>
      <c r="AU291" s="6" t="s">
        <v>365</v>
      </c>
      <c r="AY291" s="7" t="s">
        <v>3</v>
      </c>
      <c r="BE291" s="8">
        <f>IF(N291="základní",J291,0)</f>
        <v>0</v>
      </c>
      <c r="BF291" s="8">
        <f>IF(N291="snížená",J291,0)</f>
        <v>0</v>
      </c>
      <c r="BG291" s="8">
        <f>IF(N291="zákl. přenesená",J291,0)</f>
        <v>0</v>
      </c>
      <c r="BH291" s="8">
        <f>IF(N291="sníž. přenesená",J291,0)</f>
        <v>0</v>
      </c>
      <c r="BI291" s="8">
        <f>IF(N291="nulová",J291,0)</f>
        <v>0</v>
      </c>
      <c r="BJ291" s="7" t="s">
        <v>2</v>
      </c>
      <c r="BK291" s="8">
        <f>ROUND(I291*H291,2)</f>
        <v>0</v>
      </c>
      <c r="BL291" s="7" t="s">
        <v>328</v>
      </c>
      <c r="BM291" s="6" t="s">
        <v>887</v>
      </c>
    </row>
    <row r="292" spans="2:65" s="2" customFormat="1" ht="16.5" customHeight="1">
      <c r="B292" s="3"/>
      <c r="C292" s="20" t="s">
        <v>219</v>
      </c>
      <c r="D292" s="20" t="s">
        <v>4</v>
      </c>
      <c r="E292" s="19" t="s">
        <v>886</v>
      </c>
      <c r="F292" s="14" t="s">
        <v>885</v>
      </c>
      <c r="G292" s="18" t="s">
        <v>722</v>
      </c>
      <c r="H292" s="17">
        <v>1</v>
      </c>
      <c r="I292" s="16"/>
      <c r="J292" s="15">
        <f>ROUND(I292*H292,2)</f>
        <v>0</v>
      </c>
      <c r="K292" s="14" t="s">
        <v>654</v>
      </c>
      <c r="L292" s="3"/>
      <c r="M292" s="24" t="s">
        <v>6</v>
      </c>
      <c r="N292" s="23" t="s">
        <v>5</v>
      </c>
      <c r="P292" s="22">
        <f>O292*H292</f>
        <v>0</v>
      </c>
      <c r="Q292" s="22">
        <v>3.1E-4</v>
      </c>
      <c r="R292" s="22">
        <f>Q292*H292</f>
        <v>3.1E-4</v>
      </c>
      <c r="S292" s="22">
        <v>0</v>
      </c>
      <c r="T292" s="21">
        <f>S292*H292</f>
        <v>0</v>
      </c>
      <c r="AR292" s="6" t="s">
        <v>328</v>
      </c>
      <c r="AT292" s="6" t="s">
        <v>4</v>
      </c>
      <c r="AU292" s="6" t="s">
        <v>365</v>
      </c>
      <c r="AY292" s="7" t="s">
        <v>3</v>
      </c>
      <c r="BE292" s="8">
        <f>IF(N292="základní",J292,0)</f>
        <v>0</v>
      </c>
      <c r="BF292" s="8">
        <f>IF(N292="snížená",J292,0)</f>
        <v>0</v>
      </c>
      <c r="BG292" s="8">
        <f>IF(N292="zákl. přenesená",J292,0)</f>
        <v>0</v>
      </c>
      <c r="BH292" s="8">
        <f>IF(N292="sníž. přenesená",J292,0)</f>
        <v>0</v>
      </c>
      <c r="BI292" s="8">
        <f>IF(N292="nulová",J292,0)</f>
        <v>0</v>
      </c>
      <c r="BJ292" s="7" t="s">
        <v>2</v>
      </c>
      <c r="BK292" s="8">
        <f>ROUND(I292*H292,2)</f>
        <v>0</v>
      </c>
      <c r="BL292" s="7" t="s">
        <v>328</v>
      </c>
      <c r="BM292" s="6" t="s">
        <v>884</v>
      </c>
    </row>
    <row r="293" spans="2:65" s="2" customFormat="1">
      <c r="B293" s="3"/>
      <c r="D293" s="107" t="s">
        <v>651</v>
      </c>
      <c r="F293" s="106" t="s">
        <v>883</v>
      </c>
      <c r="I293" s="94"/>
      <c r="L293" s="3"/>
      <c r="M293" s="100"/>
      <c r="T293" s="99"/>
      <c r="AT293" s="7" t="s">
        <v>651</v>
      </c>
      <c r="AU293" s="7" t="s">
        <v>365</v>
      </c>
    </row>
    <row r="294" spans="2:65" s="2" customFormat="1" ht="16.5" customHeight="1">
      <c r="B294" s="3"/>
      <c r="C294" s="125" t="s">
        <v>882</v>
      </c>
      <c r="D294" s="125" t="s">
        <v>750</v>
      </c>
      <c r="E294" s="124" t="s">
        <v>881</v>
      </c>
      <c r="F294" s="119" t="s">
        <v>880</v>
      </c>
      <c r="G294" s="123" t="s">
        <v>722</v>
      </c>
      <c r="H294" s="122">
        <v>1</v>
      </c>
      <c r="I294" s="121"/>
      <c r="J294" s="120">
        <f>ROUND(I294*H294,2)</f>
        <v>0</v>
      </c>
      <c r="K294" s="119" t="s">
        <v>7</v>
      </c>
      <c r="L294" s="118"/>
      <c r="M294" s="117" t="s">
        <v>6</v>
      </c>
      <c r="N294" s="116" t="s">
        <v>5</v>
      </c>
      <c r="P294" s="22">
        <f>O294*H294</f>
        <v>0</v>
      </c>
      <c r="Q294" s="22">
        <v>1.5E-3</v>
      </c>
      <c r="R294" s="22">
        <f>Q294*H294</f>
        <v>1.5E-3</v>
      </c>
      <c r="S294" s="22">
        <v>0</v>
      </c>
      <c r="T294" s="21">
        <f>S294*H294</f>
        <v>0</v>
      </c>
      <c r="AR294" s="6" t="s">
        <v>283</v>
      </c>
      <c r="AT294" s="6" t="s">
        <v>750</v>
      </c>
      <c r="AU294" s="6" t="s">
        <v>365</v>
      </c>
      <c r="AY294" s="7" t="s">
        <v>3</v>
      </c>
      <c r="BE294" s="8">
        <f>IF(N294="základní",J294,0)</f>
        <v>0</v>
      </c>
      <c r="BF294" s="8">
        <f>IF(N294="snížená",J294,0)</f>
        <v>0</v>
      </c>
      <c r="BG294" s="8">
        <f>IF(N294="zákl. přenesená",J294,0)</f>
        <v>0</v>
      </c>
      <c r="BH294" s="8">
        <f>IF(N294="sníž. přenesená",J294,0)</f>
        <v>0</v>
      </c>
      <c r="BI294" s="8">
        <f>IF(N294="nulová",J294,0)</f>
        <v>0</v>
      </c>
      <c r="BJ294" s="7" t="s">
        <v>2</v>
      </c>
      <c r="BK294" s="8">
        <f>ROUND(I294*H294,2)</f>
        <v>0</v>
      </c>
      <c r="BL294" s="7" t="s">
        <v>328</v>
      </c>
      <c r="BM294" s="6" t="s">
        <v>879</v>
      </c>
    </row>
    <row r="295" spans="2:65" s="2" customFormat="1" ht="16.5" customHeight="1">
      <c r="B295" s="3"/>
      <c r="C295" s="20" t="s">
        <v>215</v>
      </c>
      <c r="D295" s="20" t="s">
        <v>4</v>
      </c>
      <c r="E295" s="19" t="s">
        <v>878</v>
      </c>
      <c r="F295" s="14" t="s">
        <v>877</v>
      </c>
      <c r="G295" s="18" t="s">
        <v>722</v>
      </c>
      <c r="H295" s="17">
        <v>1</v>
      </c>
      <c r="I295" s="16"/>
      <c r="J295" s="15">
        <f>ROUND(I295*H295,2)</f>
        <v>0</v>
      </c>
      <c r="K295" s="14" t="s">
        <v>7</v>
      </c>
      <c r="L295" s="3"/>
      <c r="M295" s="24" t="s">
        <v>6</v>
      </c>
      <c r="N295" s="23" t="s">
        <v>5</v>
      </c>
      <c r="P295" s="22">
        <f>O295*H295</f>
        <v>0</v>
      </c>
      <c r="Q295" s="22">
        <v>0</v>
      </c>
      <c r="R295" s="22">
        <f>Q295*H295</f>
        <v>0</v>
      </c>
      <c r="S295" s="22">
        <v>0</v>
      </c>
      <c r="T295" s="21">
        <f>S295*H295</f>
        <v>0</v>
      </c>
      <c r="AR295" s="6" t="s">
        <v>328</v>
      </c>
      <c r="AT295" s="6" t="s">
        <v>4</v>
      </c>
      <c r="AU295" s="6" t="s">
        <v>365</v>
      </c>
      <c r="AY295" s="7" t="s">
        <v>3</v>
      </c>
      <c r="BE295" s="8">
        <f>IF(N295="základní",J295,0)</f>
        <v>0</v>
      </c>
      <c r="BF295" s="8">
        <f>IF(N295="snížená",J295,0)</f>
        <v>0</v>
      </c>
      <c r="BG295" s="8">
        <f>IF(N295="zákl. přenesená",J295,0)</f>
        <v>0</v>
      </c>
      <c r="BH295" s="8">
        <f>IF(N295="sníž. přenesená",J295,0)</f>
        <v>0</v>
      </c>
      <c r="BI295" s="8">
        <f>IF(N295="nulová",J295,0)</f>
        <v>0</v>
      </c>
      <c r="BJ295" s="7" t="s">
        <v>2</v>
      </c>
      <c r="BK295" s="8">
        <f>ROUND(I295*H295,2)</f>
        <v>0</v>
      </c>
      <c r="BL295" s="7" t="s">
        <v>328</v>
      </c>
      <c r="BM295" s="6" t="s">
        <v>876</v>
      </c>
    </row>
    <row r="296" spans="2:65" s="2" customFormat="1" ht="24.2" customHeight="1">
      <c r="B296" s="3"/>
      <c r="C296" s="125" t="s">
        <v>875</v>
      </c>
      <c r="D296" s="125" t="s">
        <v>750</v>
      </c>
      <c r="E296" s="124" t="s">
        <v>874</v>
      </c>
      <c r="F296" s="119" t="s">
        <v>873</v>
      </c>
      <c r="G296" s="123" t="s">
        <v>714</v>
      </c>
      <c r="H296" s="122">
        <v>1</v>
      </c>
      <c r="I296" s="121"/>
      <c r="J296" s="120">
        <f>ROUND(I296*H296,2)</f>
        <v>0</v>
      </c>
      <c r="K296" s="119" t="s">
        <v>7</v>
      </c>
      <c r="L296" s="118"/>
      <c r="M296" s="117" t="s">
        <v>6</v>
      </c>
      <c r="N296" s="116" t="s">
        <v>5</v>
      </c>
      <c r="P296" s="22">
        <f>O296*H296</f>
        <v>0</v>
      </c>
      <c r="Q296" s="22">
        <v>1E-3</v>
      </c>
      <c r="R296" s="22">
        <f>Q296*H296</f>
        <v>1E-3</v>
      </c>
      <c r="S296" s="22">
        <v>0</v>
      </c>
      <c r="T296" s="21">
        <f>S296*H296</f>
        <v>0</v>
      </c>
      <c r="AR296" s="6" t="s">
        <v>283</v>
      </c>
      <c r="AT296" s="6" t="s">
        <v>750</v>
      </c>
      <c r="AU296" s="6" t="s">
        <v>365</v>
      </c>
      <c r="AY296" s="7" t="s">
        <v>3</v>
      </c>
      <c r="BE296" s="8">
        <f>IF(N296="základní",J296,0)</f>
        <v>0</v>
      </c>
      <c r="BF296" s="8">
        <f>IF(N296="snížená",J296,0)</f>
        <v>0</v>
      </c>
      <c r="BG296" s="8">
        <f>IF(N296="zákl. přenesená",J296,0)</f>
        <v>0</v>
      </c>
      <c r="BH296" s="8">
        <f>IF(N296="sníž. přenesená",J296,0)</f>
        <v>0</v>
      </c>
      <c r="BI296" s="8">
        <f>IF(N296="nulová",J296,0)</f>
        <v>0</v>
      </c>
      <c r="BJ296" s="7" t="s">
        <v>2</v>
      </c>
      <c r="BK296" s="8">
        <f>ROUND(I296*H296,2)</f>
        <v>0</v>
      </c>
      <c r="BL296" s="7" t="s">
        <v>328</v>
      </c>
      <c r="BM296" s="6" t="s">
        <v>872</v>
      </c>
    </row>
    <row r="297" spans="2:65" s="2" customFormat="1" ht="16.5" customHeight="1">
      <c r="B297" s="3"/>
      <c r="C297" s="20" t="s">
        <v>211</v>
      </c>
      <c r="D297" s="20" t="s">
        <v>4</v>
      </c>
      <c r="E297" s="19" t="s">
        <v>856</v>
      </c>
      <c r="F297" s="14" t="s">
        <v>855</v>
      </c>
      <c r="G297" s="18" t="s">
        <v>722</v>
      </c>
      <c r="H297" s="17">
        <v>3</v>
      </c>
      <c r="I297" s="16"/>
      <c r="J297" s="15">
        <f>ROUND(I297*H297,2)</f>
        <v>0</v>
      </c>
      <c r="K297" s="14" t="s">
        <v>654</v>
      </c>
      <c r="L297" s="3"/>
      <c r="M297" s="24" t="s">
        <v>6</v>
      </c>
      <c r="N297" s="23" t="s">
        <v>5</v>
      </c>
      <c r="P297" s="22">
        <f>O297*H297</f>
        <v>0</v>
      </c>
      <c r="Q297" s="22">
        <v>2.4000000000000001E-4</v>
      </c>
      <c r="R297" s="22">
        <f>Q297*H297</f>
        <v>7.2000000000000005E-4</v>
      </c>
      <c r="S297" s="22">
        <v>0</v>
      </c>
      <c r="T297" s="21">
        <f>S297*H297</f>
        <v>0</v>
      </c>
      <c r="AR297" s="6" t="s">
        <v>328</v>
      </c>
      <c r="AT297" s="6" t="s">
        <v>4</v>
      </c>
      <c r="AU297" s="6" t="s">
        <v>365</v>
      </c>
      <c r="AY297" s="7" t="s">
        <v>3</v>
      </c>
      <c r="BE297" s="8">
        <f>IF(N297="základní",J297,0)</f>
        <v>0</v>
      </c>
      <c r="BF297" s="8">
        <f>IF(N297="snížená",J297,0)</f>
        <v>0</v>
      </c>
      <c r="BG297" s="8">
        <f>IF(N297="zákl. přenesená",J297,0)</f>
        <v>0</v>
      </c>
      <c r="BH297" s="8">
        <f>IF(N297="sníž. přenesená",J297,0)</f>
        <v>0</v>
      </c>
      <c r="BI297" s="8">
        <f>IF(N297="nulová",J297,0)</f>
        <v>0</v>
      </c>
      <c r="BJ297" s="7" t="s">
        <v>2</v>
      </c>
      <c r="BK297" s="8">
        <f>ROUND(I297*H297,2)</f>
        <v>0</v>
      </c>
      <c r="BL297" s="7" t="s">
        <v>328</v>
      </c>
      <c r="BM297" s="6" t="s">
        <v>871</v>
      </c>
    </row>
    <row r="298" spans="2:65" s="2" customFormat="1">
      <c r="B298" s="3"/>
      <c r="D298" s="107" t="s">
        <v>651</v>
      </c>
      <c r="F298" s="106" t="s">
        <v>853</v>
      </c>
      <c r="I298" s="94"/>
      <c r="L298" s="3"/>
      <c r="M298" s="100"/>
      <c r="T298" s="99"/>
      <c r="AT298" s="7" t="s">
        <v>651</v>
      </c>
      <c r="AU298" s="7" t="s">
        <v>365</v>
      </c>
    </row>
    <row r="299" spans="2:65" s="2" customFormat="1" ht="21.75" customHeight="1">
      <c r="B299" s="3"/>
      <c r="C299" s="125" t="s">
        <v>870</v>
      </c>
      <c r="D299" s="125" t="s">
        <v>750</v>
      </c>
      <c r="E299" s="124" t="s">
        <v>869</v>
      </c>
      <c r="F299" s="119" t="s">
        <v>868</v>
      </c>
      <c r="G299" s="123" t="s">
        <v>722</v>
      </c>
      <c r="H299" s="122">
        <v>3</v>
      </c>
      <c r="I299" s="121"/>
      <c r="J299" s="120">
        <f>ROUND(I299*H299,2)</f>
        <v>0</v>
      </c>
      <c r="K299" s="119" t="s">
        <v>7</v>
      </c>
      <c r="L299" s="118"/>
      <c r="M299" s="117" t="s">
        <v>6</v>
      </c>
      <c r="N299" s="116" t="s">
        <v>5</v>
      </c>
      <c r="P299" s="22">
        <f>O299*H299</f>
        <v>0</v>
      </c>
      <c r="Q299" s="22">
        <v>1.6000000000000001E-3</v>
      </c>
      <c r="R299" s="22">
        <f>Q299*H299</f>
        <v>4.8000000000000004E-3</v>
      </c>
      <c r="S299" s="22">
        <v>0</v>
      </c>
      <c r="T299" s="21">
        <f>S299*H299</f>
        <v>0</v>
      </c>
      <c r="AR299" s="6" t="s">
        <v>283</v>
      </c>
      <c r="AT299" s="6" t="s">
        <v>750</v>
      </c>
      <c r="AU299" s="6" t="s">
        <v>365</v>
      </c>
      <c r="AY299" s="7" t="s">
        <v>3</v>
      </c>
      <c r="BE299" s="8">
        <f>IF(N299="základní",J299,0)</f>
        <v>0</v>
      </c>
      <c r="BF299" s="8">
        <f>IF(N299="snížená",J299,0)</f>
        <v>0</v>
      </c>
      <c r="BG299" s="8">
        <f>IF(N299="zákl. přenesená",J299,0)</f>
        <v>0</v>
      </c>
      <c r="BH299" s="8">
        <f>IF(N299="sníž. přenesená",J299,0)</f>
        <v>0</v>
      </c>
      <c r="BI299" s="8">
        <f>IF(N299="nulová",J299,0)</f>
        <v>0</v>
      </c>
      <c r="BJ299" s="7" t="s">
        <v>2</v>
      </c>
      <c r="BK299" s="8">
        <f>ROUND(I299*H299,2)</f>
        <v>0</v>
      </c>
      <c r="BL299" s="7" t="s">
        <v>328</v>
      </c>
      <c r="BM299" s="6" t="s">
        <v>867</v>
      </c>
    </row>
    <row r="300" spans="2:65" s="2" customFormat="1" ht="16.5" customHeight="1">
      <c r="B300" s="3"/>
      <c r="C300" s="20" t="s">
        <v>207</v>
      </c>
      <c r="D300" s="20" t="s">
        <v>4</v>
      </c>
      <c r="E300" s="19" t="s">
        <v>856</v>
      </c>
      <c r="F300" s="14" t="s">
        <v>855</v>
      </c>
      <c r="G300" s="18" t="s">
        <v>722</v>
      </c>
      <c r="H300" s="17">
        <v>8</v>
      </c>
      <c r="I300" s="16"/>
      <c r="J300" s="15">
        <f>ROUND(I300*H300,2)</f>
        <v>0</v>
      </c>
      <c r="K300" s="14" t="s">
        <v>654</v>
      </c>
      <c r="L300" s="3"/>
      <c r="M300" s="24" t="s">
        <v>6</v>
      </c>
      <c r="N300" s="23" t="s">
        <v>5</v>
      </c>
      <c r="P300" s="22">
        <f>O300*H300</f>
        <v>0</v>
      </c>
      <c r="Q300" s="22">
        <v>2.4000000000000001E-4</v>
      </c>
      <c r="R300" s="22">
        <f>Q300*H300</f>
        <v>1.92E-3</v>
      </c>
      <c r="S300" s="22">
        <v>0</v>
      </c>
      <c r="T300" s="21">
        <f>S300*H300</f>
        <v>0</v>
      </c>
      <c r="AR300" s="6" t="s">
        <v>328</v>
      </c>
      <c r="AT300" s="6" t="s">
        <v>4</v>
      </c>
      <c r="AU300" s="6" t="s">
        <v>365</v>
      </c>
      <c r="AY300" s="7" t="s">
        <v>3</v>
      </c>
      <c r="BE300" s="8">
        <f>IF(N300="základní",J300,0)</f>
        <v>0</v>
      </c>
      <c r="BF300" s="8">
        <f>IF(N300="snížená",J300,0)</f>
        <v>0</v>
      </c>
      <c r="BG300" s="8">
        <f>IF(N300="zákl. přenesená",J300,0)</f>
        <v>0</v>
      </c>
      <c r="BH300" s="8">
        <f>IF(N300="sníž. přenesená",J300,0)</f>
        <v>0</v>
      </c>
      <c r="BI300" s="8">
        <f>IF(N300="nulová",J300,0)</f>
        <v>0</v>
      </c>
      <c r="BJ300" s="7" t="s">
        <v>2</v>
      </c>
      <c r="BK300" s="8">
        <f>ROUND(I300*H300,2)</f>
        <v>0</v>
      </c>
      <c r="BL300" s="7" t="s">
        <v>328</v>
      </c>
      <c r="BM300" s="6" t="s">
        <v>866</v>
      </c>
    </row>
    <row r="301" spans="2:65" s="2" customFormat="1">
      <c r="B301" s="3"/>
      <c r="D301" s="107" t="s">
        <v>651</v>
      </c>
      <c r="F301" s="106" t="s">
        <v>853</v>
      </c>
      <c r="I301" s="94"/>
      <c r="L301" s="3"/>
      <c r="M301" s="100"/>
      <c r="T301" s="99"/>
      <c r="AT301" s="7" t="s">
        <v>651</v>
      </c>
      <c r="AU301" s="7" t="s">
        <v>365</v>
      </c>
    </row>
    <row r="302" spans="2:65" s="2" customFormat="1" ht="16.5" customHeight="1">
      <c r="B302" s="3"/>
      <c r="C302" s="125" t="s">
        <v>865</v>
      </c>
      <c r="D302" s="125" t="s">
        <v>750</v>
      </c>
      <c r="E302" s="124" t="s">
        <v>864</v>
      </c>
      <c r="F302" s="119" t="s">
        <v>863</v>
      </c>
      <c r="G302" s="123" t="s">
        <v>722</v>
      </c>
      <c r="H302" s="122">
        <v>8</v>
      </c>
      <c r="I302" s="121"/>
      <c r="J302" s="120">
        <f>ROUND(I302*H302,2)</f>
        <v>0</v>
      </c>
      <c r="K302" s="119" t="s">
        <v>7</v>
      </c>
      <c r="L302" s="118"/>
      <c r="M302" s="117" t="s">
        <v>6</v>
      </c>
      <c r="N302" s="116" t="s">
        <v>5</v>
      </c>
      <c r="P302" s="22">
        <f>O302*H302</f>
        <v>0</v>
      </c>
      <c r="Q302" s="22">
        <v>2E-3</v>
      </c>
      <c r="R302" s="22">
        <f>Q302*H302</f>
        <v>1.6E-2</v>
      </c>
      <c r="S302" s="22">
        <v>0</v>
      </c>
      <c r="T302" s="21">
        <f>S302*H302</f>
        <v>0</v>
      </c>
      <c r="AR302" s="6" t="s">
        <v>283</v>
      </c>
      <c r="AT302" s="6" t="s">
        <v>750</v>
      </c>
      <c r="AU302" s="6" t="s">
        <v>365</v>
      </c>
      <c r="AY302" s="7" t="s">
        <v>3</v>
      </c>
      <c r="BE302" s="8">
        <f>IF(N302="základní",J302,0)</f>
        <v>0</v>
      </c>
      <c r="BF302" s="8">
        <f>IF(N302="snížená",J302,0)</f>
        <v>0</v>
      </c>
      <c r="BG302" s="8">
        <f>IF(N302="zákl. přenesená",J302,0)</f>
        <v>0</v>
      </c>
      <c r="BH302" s="8">
        <f>IF(N302="sníž. přenesená",J302,0)</f>
        <v>0</v>
      </c>
      <c r="BI302" s="8">
        <f>IF(N302="nulová",J302,0)</f>
        <v>0</v>
      </c>
      <c r="BJ302" s="7" t="s">
        <v>2</v>
      </c>
      <c r="BK302" s="8">
        <f>ROUND(I302*H302,2)</f>
        <v>0</v>
      </c>
      <c r="BL302" s="7" t="s">
        <v>328</v>
      </c>
      <c r="BM302" s="6" t="s">
        <v>862</v>
      </c>
    </row>
    <row r="303" spans="2:65" s="2" customFormat="1" ht="16.5" customHeight="1">
      <c r="B303" s="3"/>
      <c r="C303" s="20" t="s">
        <v>204</v>
      </c>
      <c r="D303" s="20" t="s">
        <v>4</v>
      </c>
      <c r="E303" s="19" t="s">
        <v>856</v>
      </c>
      <c r="F303" s="14" t="s">
        <v>855</v>
      </c>
      <c r="G303" s="18" t="s">
        <v>722</v>
      </c>
      <c r="H303" s="17">
        <v>3</v>
      </c>
      <c r="I303" s="16"/>
      <c r="J303" s="15">
        <f>ROUND(I303*H303,2)</f>
        <v>0</v>
      </c>
      <c r="K303" s="14" t="s">
        <v>654</v>
      </c>
      <c r="L303" s="3"/>
      <c r="M303" s="24" t="s">
        <v>6</v>
      </c>
      <c r="N303" s="23" t="s">
        <v>5</v>
      </c>
      <c r="P303" s="22">
        <f>O303*H303</f>
        <v>0</v>
      </c>
      <c r="Q303" s="22">
        <v>2.4000000000000001E-4</v>
      </c>
      <c r="R303" s="22">
        <f>Q303*H303</f>
        <v>7.2000000000000005E-4</v>
      </c>
      <c r="S303" s="22">
        <v>0</v>
      </c>
      <c r="T303" s="21">
        <f>S303*H303</f>
        <v>0</v>
      </c>
      <c r="AR303" s="6" t="s">
        <v>328</v>
      </c>
      <c r="AT303" s="6" t="s">
        <v>4</v>
      </c>
      <c r="AU303" s="6" t="s">
        <v>365</v>
      </c>
      <c r="AY303" s="7" t="s">
        <v>3</v>
      </c>
      <c r="BE303" s="8">
        <f>IF(N303="základní",J303,0)</f>
        <v>0</v>
      </c>
      <c r="BF303" s="8">
        <f>IF(N303="snížená",J303,0)</f>
        <v>0</v>
      </c>
      <c r="BG303" s="8">
        <f>IF(N303="zákl. přenesená",J303,0)</f>
        <v>0</v>
      </c>
      <c r="BH303" s="8">
        <f>IF(N303="sníž. přenesená",J303,0)</f>
        <v>0</v>
      </c>
      <c r="BI303" s="8">
        <f>IF(N303="nulová",J303,0)</f>
        <v>0</v>
      </c>
      <c r="BJ303" s="7" t="s">
        <v>2</v>
      </c>
      <c r="BK303" s="8">
        <f>ROUND(I303*H303,2)</f>
        <v>0</v>
      </c>
      <c r="BL303" s="7" t="s">
        <v>328</v>
      </c>
      <c r="BM303" s="6" t="s">
        <v>861</v>
      </c>
    </row>
    <row r="304" spans="2:65" s="2" customFormat="1">
      <c r="B304" s="3"/>
      <c r="D304" s="107" t="s">
        <v>651</v>
      </c>
      <c r="F304" s="106" t="s">
        <v>853</v>
      </c>
      <c r="I304" s="94"/>
      <c r="L304" s="3"/>
      <c r="M304" s="100"/>
      <c r="T304" s="99"/>
      <c r="AT304" s="7" t="s">
        <v>651</v>
      </c>
      <c r="AU304" s="7" t="s">
        <v>365</v>
      </c>
    </row>
    <row r="305" spans="2:65" s="2" customFormat="1" ht="16.5" customHeight="1">
      <c r="B305" s="3"/>
      <c r="C305" s="125" t="s">
        <v>860</v>
      </c>
      <c r="D305" s="125" t="s">
        <v>750</v>
      </c>
      <c r="E305" s="124" t="s">
        <v>859</v>
      </c>
      <c r="F305" s="119" t="s">
        <v>858</v>
      </c>
      <c r="G305" s="123" t="s">
        <v>722</v>
      </c>
      <c r="H305" s="122">
        <v>3</v>
      </c>
      <c r="I305" s="121"/>
      <c r="J305" s="120">
        <f>ROUND(I305*H305,2)</f>
        <v>0</v>
      </c>
      <c r="K305" s="119" t="s">
        <v>7</v>
      </c>
      <c r="L305" s="118"/>
      <c r="M305" s="117" t="s">
        <v>6</v>
      </c>
      <c r="N305" s="116" t="s">
        <v>5</v>
      </c>
      <c r="P305" s="22">
        <f>O305*H305</f>
        <v>0</v>
      </c>
      <c r="Q305" s="22">
        <v>1E-3</v>
      </c>
      <c r="R305" s="22">
        <f>Q305*H305</f>
        <v>3.0000000000000001E-3</v>
      </c>
      <c r="S305" s="22">
        <v>0</v>
      </c>
      <c r="T305" s="21">
        <f>S305*H305</f>
        <v>0</v>
      </c>
      <c r="AR305" s="6" t="s">
        <v>283</v>
      </c>
      <c r="AT305" s="6" t="s">
        <v>750</v>
      </c>
      <c r="AU305" s="6" t="s">
        <v>365</v>
      </c>
      <c r="AY305" s="7" t="s">
        <v>3</v>
      </c>
      <c r="BE305" s="8">
        <f>IF(N305="základní",J305,0)</f>
        <v>0</v>
      </c>
      <c r="BF305" s="8">
        <f>IF(N305="snížená",J305,0)</f>
        <v>0</v>
      </c>
      <c r="BG305" s="8">
        <f>IF(N305="zákl. přenesená",J305,0)</f>
        <v>0</v>
      </c>
      <c r="BH305" s="8">
        <f>IF(N305="sníž. přenesená",J305,0)</f>
        <v>0</v>
      </c>
      <c r="BI305" s="8">
        <f>IF(N305="nulová",J305,0)</f>
        <v>0</v>
      </c>
      <c r="BJ305" s="7" t="s">
        <v>2</v>
      </c>
      <c r="BK305" s="8">
        <f>ROUND(I305*H305,2)</f>
        <v>0</v>
      </c>
      <c r="BL305" s="7" t="s">
        <v>328</v>
      </c>
      <c r="BM305" s="6" t="s">
        <v>857</v>
      </c>
    </row>
    <row r="306" spans="2:65" s="2" customFormat="1" ht="16.5" customHeight="1">
      <c r="B306" s="3"/>
      <c r="C306" s="20" t="s">
        <v>200</v>
      </c>
      <c r="D306" s="20" t="s">
        <v>4</v>
      </c>
      <c r="E306" s="19" t="s">
        <v>856</v>
      </c>
      <c r="F306" s="14" t="s">
        <v>855</v>
      </c>
      <c r="G306" s="18" t="s">
        <v>722</v>
      </c>
      <c r="H306" s="17">
        <v>3</v>
      </c>
      <c r="I306" s="16"/>
      <c r="J306" s="15">
        <f>ROUND(I306*H306,2)</f>
        <v>0</v>
      </c>
      <c r="K306" s="14" t="s">
        <v>654</v>
      </c>
      <c r="L306" s="3"/>
      <c r="M306" s="24" t="s">
        <v>6</v>
      </c>
      <c r="N306" s="23" t="s">
        <v>5</v>
      </c>
      <c r="P306" s="22">
        <f>O306*H306</f>
        <v>0</v>
      </c>
      <c r="Q306" s="22">
        <v>2.4000000000000001E-4</v>
      </c>
      <c r="R306" s="22">
        <f>Q306*H306</f>
        <v>7.2000000000000005E-4</v>
      </c>
      <c r="S306" s="22">
        <v>0</v>
      </c>
      <c r="T306" s="21">
        <f>S306*H306</f>
        <v>0</v>
      </c>
      <c r="AR306" s="6" t="s">
        <v>328</v>
      </c>
      <c r="AT306" s="6" t="s">
        <v>4</v>
      </c>
      <c r="AU306" s="6" t="s">
        <v>365</v>
      </c>
      <c r="AY306" s="7" t="s">
        <v>3</v>
      </c>
      <c r="BE306" s="8">
        <f>IF(N306="základní",J306,0)</f>
        <v>0</v>
      </c>
      <c r="BF306" s="8">
        <f>IF(N306="snížená",J306,0)</f>
        <v>0</v>
      </c>
      <c r="BG306" s="8">
        <f>IF(N306="zákl. přenesená",J306,0)</f>
        <v>0</v>
      </c>
      <c r="BH306" s="8">
        <f>IF(N306="sníž. přenesená",J306,0)</f>
        <v>0</v>
      </c>
      <c r="BI306" s="8">
        <f>IF(N306="nulová",J306,0)</f>
        <v>0</v>
      </c>
      <c r="BJ306" s="7" t="s">
        <v>2</v>
      </c>
      <c r="BK306" s="8">
        <f>ROUND(I306*H306,2)</f>
        <v>0</v>
      </c>
      <c r="BL306" s="7" t="s">
        <v>328</v>
      </c>
      <c r="BM306" s="6" t="s">
        <v>854</v>
      </c>
    </row>
    <row r="307" spans="2:65" s="2" customFormat="1">
      <c r="B307" s="3"/>
      <c r="D307" s="107" t="s">
        <v>651</v>
      </c>
      <c r="F307" s="106" t="s">
        <v>853</v>
      </c>
      <c r="I307" s="94"/>
      <c r="L307" s="3"/>
      <c r="M307" s="100"/>
      <c r="T307" s="99"/>
      <c r="AT307" s="7" t="s">
        <v>651</v>
      </c>
      <c r="AU307" s="7" t="s">
        <v>365</v>
      </c>
    </row>
    <row r="308" spans="2:65" s="2" customFormat="1" ht="16.5" customHeight="1">
      <c r="B308" s="3"/>
      <c r="C308" s="125" t="s">
        <v>852</v>
      </c>
      <c r="D308" s="125" t="s">
        <v>750</v>
      </c>
      <c r="E308" s="124" t="s">
        <v>851</v>
      </c>
      <c r="F308" s="119" t="s">
        <v>850</v>
      </c>
      <c r="G308" s="123" t="s">
        <v>722</v>
      </c>
      <c r="H308" s="122">
        <v>3</v>
      </c>
      <c r="I308" s="121"/>
      <c r="J308" s="120">
        <f>ROUND(I308*H308,2)</f>
        <v>0</v>
      </c>
      <c r="K308" s="119" t="s">
        <v>7</v>
      </c>
      <c r="L308" s="118"/>
      <c r="M308" s="117" t="s">
        <v>6</v>
      </c>
      <c r="N308" s="116" t="s">
        <v>5</v>
      </c>
      <c r="P308" s="22">
        <f>O308*H308</f>
        <v>0</v>
      </c>
      <c r="Q308" s="22">
        <v>1.5E-3</v>
      </c>
      <c r="R308" s="22">
        <f>Q308*H308</f>
        <v>4.5000000000000005E-3</v>
      </c>
      <c r="S308" s="22">
        <v>0</v>
      </c>
      <c r="T308" s="21">
        <f>S308*H308</f>
        <v>0</v>
      </c>
      <c r="AR308" s="6" t="s">
        <v>283</v>
      </c>
      <c r="AT308" s="6" t="s">
        <v>750</v>
      </c>
      <c r="AU308" s="6" t="s">
        <v>365</v>
      </c>
      <c r="AY308" s="7" t="s">
        <v>3</v>
      </c>
      <c r="BE308" s="8">
        <f>IF(N308="základní",J308,0)</f>
        <v>0</v>
      </c>
      <c r="BF308" s="8">
        <f>IF(N308="snížená",J308,0)</f>
        <v>0</v>
      </c>
      <c r="BG308" s="8">
        <f>IF(N308="zákl. přenesená",J308,0)</f>
        <v>0</v>
      </c>
      <c r="BH308" s="8">
        <f>IF(N308="sníž. přenesená",J308,0)</f>
        <v>0</v>
      </c>
      <c r="BI308" s="8">
        <f>IF(N308="nulová",J308,0)</f>
        <v>0</v>
      </c>
      <c r="BJ308" s="7" t="s">
        <v>2</v>
      </c>
      <c r="BK308" s="8">
        <f>ROUND(I308*H308,2)</f>
        <v>0</v>
      </c>
      <c r="BL308" s="7" t="s">
        <v>328</v>
      </c>
      <c r="BM308" s="6" t="s">
        <v>849</v>
      </c>
    </row>
    <row r="309" spans="2:65" s="2" customFormat="1" ht="16.5" customHeight="1">
      <c r="B309" s="3"/>
      <c r="C309" s="20" t="s">
        <v>196</v>
      </c>
      <c r="D309" s="20" t="s">
        <v>4</v>
      </c>
      <c r="E309" s="19" t="s">
        <v>833</v>
      </c>
      <c r="F309" s="14" t="s">
        <v>832</v>
      </c>
      <c r="G309" s="18" t="s">
        <v>722</v>
      </c>
      <c r="H309" s="17">
        <v>8</v>
      </c>
      <c r="I309" s="16"/>
      <c r="J309" s="15">
        <f>ROUND(I309*H309,2)</f>
        <v>0</v>
      </c>
      <c r="K309" s="14" t="s">
        <v>654</v>
      </c>
      <c r="L309" s="3"/>
      <c r="M309" s="24" t="s">
        <v>6</v>
      </c>
      <c r="N309" s="23" t="s">
        <v>5</v>
      </c>
      <c r="P309" s="22">
        <f>O309*H309</f>
        <v>0</v>
      </c>
      <c r="Q309" s="22">
        <v>3.3E-4</v>
      </c>
      <c r="R309" s="22">
        <f>Q309*H309</f>
        <v>2.64E-3</v>
      </c>
      <c r="S309" s="22">
        <v>0</v>
      </c>
      <c r="T309" s="21">
        <f>S309*H309</f>
        <v>0</v>
      </c>
      <c r="AR309" s="6" t="s">
        <v>328</v>
      </c>
      <c r="AT309" s="6" t="s">
        <v>4</v>
      </c>
      <c r="AU309" s="6" t="s">
        <v>365</v>
      </c>
      <c r="AY309" s="7" t="s">
        <v>3</v>
      </c>
      <c r="BE309" s="8">
        <f>IF(N309="základní",J309,0)</f>
        <v>0</v>
      </c>
      <c r="BF309" s="8">
        <f>IF(N309="snížená",J309,0)</f>
        <v>0</v>
      </c>
      <c r="BG309" s="8">
        <f>IF(N309="zákl. přenesená",J309,0)</f>
        <v>0</v>
      </c>
      <c r="BH309" s="8">
        <f>IF(N309="sníž. přenesená",J309,0)</f>
        <v>0</v>
      </c>
      <c r="BI309" s="8">
        <f>IF(N309="nulová",J309,0)</f>
        <v>0</v>
      </c>
      <c r="BJ309" s="7" t="s">
        <v>2</v>
      </c>
      <c r="BK309" s="8">
        <f>ROUND(I309*H309,2)</f>
        <v>0</v>
      </c>
      <c r="BL309" s="7" t="s">
        <v>328</v>
      </c>
      <c r="BM309" s="6" t="s">
        <v>848</v>
      </c>
    </row>
    <row r="310" spans="2:65" s="2" customFormat="1">
      <c r="B310" s="3"/>
      <c r="D310" s="107" t="s">
        <v>651</v>
      </c>
      <c r="F310" s="106" t="s">
        <v>830</v>
      </c>
      <c r="I310" s="94"/>
      <c r="L310" s="3"/>
      <c r="M310" s="100"/>
      <c r="T310" s="99"/>
      <c r="AT310" s="7" t="s">
        <v>651</v>
      </c>
      <c r="AU310" s="7" t="s">
        <v>365</v>
      </c>
    </row>
    <row r="311" spans="2:65" s="2" customFormat="1" ht="16.5" customHeight="1">
      <c r="B311" s="3"/>
      <c r="C311" s="125" t="s">
        <v>847</v>
      </c>
      <c r="D311" s="125" t="s">
        <v>750</v>
      </c>
      <c r="E311" s="124" t="s">
        <v>846</v>
      </c>
      <c r="F311" s="119" t="s">
        <v>845</v>
      </c>
      <c r="G311" s="123" t="s">
        <v>722</v>
      </c>
      <c r="H311" s="122">
        <v>8</v>
      </c>
      <c r="I311" s="121"/>
      <c r="J311" s="120">
        <f>ROUND(I311*H311,2)</f>
        <v>0</v>
      </c>
      <c r="K311" s="119" t="s">
        <v>7</v>
      </c>
      <c r="L311" s="118"/>
      <c r="M311" s="117" t="s">
        <v>6</v>
      </c>
      <c r="N311" s="116" t="s">
        <v>5</v>
      </c>
      <c r="P311" s="22">
        <f>O311*H311</f>
        <v>0</v>
      </c>
      <c r="Q311" s="22">
        <v>3.0000000000000001E-3</v>
      </c>
      <c r="R311" s="22">
        <f>Q311*H311</f>
        <v>2.4E-2</v>
      </c>
      <c r="S311" s="22">
        <v>0</v>
      </c>
      <c r="T311" s="21">
        <f>S311*H311</f>
        <v>0</v>
      </c>
      <c r="AR311" s="6" t="s">
        <v>283</v>
      </c>
      <c r="AT311" s="6" t="s">
        <v>750</v>
      </c>
      <c r="AU311" s="6" t="s">
        <v>365</v>
      </c>
      <c r="AY311" s="7" t="s">
        <v>3</v>
      </c>
      <c r="BE311" s="8">
        <f>IF(N311="základní",J311,0)</f>
        <v>0</v>
      </c>
      <c r="BF311" s="8">
        <f>IF(N311="snížená",J311,0)</f>
        <v>0</v>
      </c>
      <c r="BG311" s="8">
        <f>IF(N311="zákl. přenesená",J311,0)</f>
        <v>0</v>
      </c>
      <c r="BH311" s="8">
        <f>IF(N311="sníž. přenesená",J311,0)</f>
        <v>0</v>
      </c>
      <c r="BI311" s="8">
        <f>IF(N311="nulová",J311,0)</f>
        <v>0</v>
      </c>
      <c r="BJ311" s="7" t="s">
        <v>2</v>
      </c>
      <c r="BK311" s="8">
        <f>ROUND(I311*H311,2)</f>
        <v>0</v>
      </c>
      <c r="BL311" s="7" t="s">
        <v>328</v>
      </c>
      <c r="BM311" s="6" t="s">
        <v>844</v>
      </c>
    </row>
    <row r="312" spans="2:65" s="2" customFormat="1" ht="16.5" customHeight="1">
      <c r="B312" s="3"/>
      <c r="C312" s="20" t="s">
        <v>192</v>
      </c>
      <c r="D312" s="20" t="s">
        <v>4</v>
      </c>
      <c r="E312" s="19" t="s">
        <v>833</v>
      </c>
      <c r="F312" s="14" t="s">
        <v>832</v>
      </c>
      <c r="G312" s="18" t="s">
        <v>722</v>
      </c>
      <c r="H312" s="17">
        <v>1</v>
      </c>
      <c r="I312" s="16"/>
      <c r="J312" s="15">
        <f>ROUND(I312*H312,2)</f>
        <v>0</v>
      </c>
      <c r="K312" s="14" t="s">
        <v>654</v>
      </c>
      <c r="L312" s="3"/>
      <c r="M312" s="24" t="s">
        <v>6</v>
      </c>
      <c r="N312" s="23" t="s">
        <v>5</v>
      </c>
      <c r="P312" s="22">
        <f>O312*H312</f>
        <v>0</v>
      </c>
      <c r="Q312" s="22">
        <v>3.3E-4</v>
      </c>
      <c r="R312" s="22">
        <f>Q312*H312</f>
        <v>3.3E-4</v>
      </c>
      <c r="S312" s="22">
        <v>0</v>
      </c>
      <c r="T312" s="21">
        <f>S312*H312</f>
        <v>0</v>
      </c>
      <c r="AR312" s="6" t="s">
        <v>328</v>
      </c>
      <c r="AT312" s="6" t="s">
        <v>4</v>
      </c>
      <c r="AU312" s="6" t="s">
        <v>365</v>
      </c>
      <c r="AY312" s="7" t="s">
        <v>3</v>
      </c>
      <c r="BE312" s="8">
        <f>IF(N312="základní",J312,0)</f>
        <v>0</v>
      </c>
      <c r="BF312" s="8">
        <f>IF(N312="snížená",J312,0)</f>
        <v>0</v>
      </c>
      <c r="BG312" s="8">
        <f>IF(N312="zákl. přenesená",J312,0)</f>
        <v>0</v>
      </c>
      <c r="BH312" s="8">
        <f>IF(N312="sníž. přenesená",J312,0)</f>
        <v>0</v>
      </c>
      <c r="BI312" s="8">
        <f>IF(N312="nulová",J312,0)</f>
        <v>0</v>
      </c>
      <c r="BJ312" s="7" t="s">
        <v>2</v>
      </c>
      <c r="BK312" s="8">
        <f>ROUND(I312*H312,2)</f>
        <v>0</v>
      </c>
      <c r="BL312" s="7" t="s">
        <v>328</v>
      </c>
      <c r="BM312" s="6" t="s">
        <v>843</v>
      </c>
    </row>
    <row r="313" spans="2:65" s="2" customFormat="1">
      <c r="B313" s="3"/>
      <c r="D313" s="107" t="s">
        <v>651</v>
      </c>
      <c r="F313" s="106" t="s">
        <v>830</v>
      </c>
      <c r="I313" s="94"/>
      <c r="L313" s="3"/>
      <c r="M313" s="100"/>
      <c r="T313" s="99"/>
      <c r="AT313" s="7" t="s">
        <v>651</v>
      </c>
      <c r="AU313" s="7" t="s">
        <v>365</v>
      </c>
    </row>
    <row r="314" spans="2:65" s="2" customFormat="1" ht="16.5" customHeight="1">
      <c r="B314" s="3"/>
      <c r="C314" s="125" t="s">
        <v>842</v>
      </c>
      <c r="D314" s="125" t="s">
        <v>750</v>
      </c>
      <c r="E314" s="124" t="s">
        <v>841</v>
      </c>
      <c r="F314" s="119" t="s">
        <v>840</v>
      </c>
      <c r="G314" s="123" t="s">
        <v>722</v>
      </c>
      <c r="H314" s="122">
        <v>1</v>
      </c>
      <c r="I314" s="121"/>
      <c r="J314" s="120">
        <f>ROUND(I314*H314,2)</f>
        <v>0</v>
      </c>
      <c r="K314" s="119" t="s">
        <v>7</v>
      </c>
      <c r="L314" s="118"/>
      <c r="M314" s="117" t="s">
        <v>6</v>
      </c>
      <c r="N314" s="116" t="s">
        <v>5</v>
      </c>
      <c r="P314" s="22">
        <f>O314*H314</f>
        <v>0</v>
      </c>
      <c r="Q314" s="22">
        <v>2E-3</v>
      </c>
      <c r="R314" s="22">
        <f>Q314*H314</f>
        <v>2E-3</v>
      </c>
      <c r="S314" s="22">
        <v>0</v>
      </c>
      <c r="T314" s="21">
        <f>S314*H314</f>
        <v>0</v>
      </c>
      <c r="AR314" s="6" t="s">
        <v>283</v>
      </c>
      <c r="AT314" s="6" t="s">
        <v>750</v>
      </c>
      <c r="AU314" s="6" t="s">
        <v>365</v>
      </c>
      <c r="AY314" s="7" t="s">
        <v>3</v>
      </c>
      <c r="BE314" s="8">
        <f>IF(N314="základní",J314,0)</f>
        <v>0</v>
      </c>
      <c r="BF314" s="8">
        <f>IF(N314="snížená",J314,0)</f>
        <v>0</v>
      </c>
      <c r="BG314" s="8">
        <f>IF(N314="zákl. přenesená",J314,0)</f>
        <v>0</v>
      </c>
      <c r="BH314" s="8">
        <f>IF(N314="sníž. přenesená",J314,0)</f>
        <v>0</v>
      </c>
      <c r="BI314" s="8">
        <f>IF(N314="nulová",J314,0)</f>
        <v>0</v>
      </c>
      <c r="BJ314" s="7" t="s">
        <v>2</v>
      </c>
      <c r="BK314" s="8">
        <f>ROUND(I314*H314,2)</f>
        <v>0</v>
      </c>
      <c r="BL314" s="7" t="s">
        <v>328</v>
      </c>
      <c r="BM314" s="6" t="s">
        <v>839</v>
      </c>
    </row>
    <row r="315" spans="2:65" s="2" customFormat="1" ht="16.5" customHeight="1">
      <c r="B315" s="3"/>
      <c r="C315" s="20" t="s">
        <v>188</v>
      </c>
      <c r="D315" s="20" t="s">
        <v>4</v>
      </c>
      <c r="E315" s="19" t="s">
        <v>833</v>
      </c>
      <c r="F315" s="14" t="s">
        <v>832</v>
      </c>
      <c r="G315" s="18" t="s">
        <v>722</v>
      </c>
      <c r="H315" s="17">
        <v>1</v>
      </c>
      <c r="I315" s="16"/>
      <c r="J315" s="15">
        <f>ROUND(I315*H315,2)</f>
        <v>0</v>
      </c>
      <c r="K315" s="14" t="s">
        <v>654</v>
      </c>
      <c r="L315" s="3"/>
      <c r="M315" s="24" t="s">
        <v>6</v>
      </c>
      <c r="N315" s="23" t="s">
        <v>5</v>
      </c>
      <c r="P315" s="22">
        <f>O315*H315</f>
        <v>0</v>
      </c>
      <c r="Q315" s="22">
        <v>3.3E-4</v>
      </c>
      <c r="R315" s="22">
        <f>Q315*H315</f>
        <v>3.3E-4</v>
      </c>
      <c r="S315" s="22">
        <v>0</v>
      </c>
      <c r="T315" s="21">
        <f>S315*H315</f>
        <v>0</v>
      </c>
      <c r="AR315" s="6" t="s">
        <v>328</v>
      </c>
      <c r="AT315" s="6" t="s">
        <v>4</v>
      </c>
      <c r="AU315" s="6" t="s">
        <v>365</v>
      </c>
      <c r="AY315" s="7" t="s">
        <v>3</v>
      </c>
      <c r="BE315" s="8">
        <f>IF(N315="základní",J315,0)</f>
        <v>0</v>
      </c>
      <c r="BF315" s="8">
        <f>IF(N315="snížená",J315,0)</f>
        <v>0</v>
      </c>
      <c r="BG315" s="8">
        <f>IF(N315="zákl. přenesená",J315,0)</f>
        <v>0</v>
      </c>
      <c r="BH315" s="8">
        <f>IF(N315="sníž. přenesená",J315,0)</f>
        <v>0</v>
      </c>
      <c r="BI315" s="8">
        <f>IF(N315="nulová",J315,0)</f>
        <v>0</v>
      </c>
      <c r="BJ315" s="7" t="s">
        <v>2</v>
      </c>
      <c r="BK315" s="8">
        <f>ROUND(I315*H315,2)</f>
        <v>0</v>
      </c>
      <c r="BL315" s="7" t="s">
        <v>328</v>
      </c>
      <c r="BM315" s="6" t="s">
        <v>838</v>
      </c>
    </row>
    <row r="316" spans="2:65" s="2" customFormat="1">
      <c r="B316" s="3"/>
      <c r="D316" s="107" t="s">
        <v>651</v>
      </c>
      <c r="F316" s="106" t="s">
        <v>830</v>
      </c>
      <c r="I316" s="94"/>
      <c r="L316" s="3"/>
      <c r="M316" s="100"/>
      <c r="T316" s="99"/>
      <c r="AT316" s="7" t="s">
        <v>651</v>
      </c>
      <c r="AU316" s="7" t="s">
        <v>365</v>
      </c>
    </row>
    <row r="317" spans="2:65" s="2" customFormat="1" ht="16.5" customHeight="1">
      <c r="B317" s="3"/>
      <c r="C317" s="125" t="s">
        <v>837</v>
      </c>
      <c r="D317" s="125" t="s">
        <v>750</v>
      </c>
      <c r="E317" s="124" t="s">
        <v>836</v>
      </c>
      <c r="F317" s="119" t="s">
        <v>835</v>
      </c>
      <c r="G317" s="123" t="s">
        <v>722</v>
      </c>
      <c r="H317" s="122">
        <v>1</v>
      </c>
      <c r="I317" s="121"/>
      <c r="J317" s="120">
        <f>ROUND(I317*H317,2)</f>
        <v>0</v>
      </c>
      <c r="K317" s="119" t="s">
        <v>7</v>
      </c>
      <c r="L317" s="118"/>
      <c r="M317" s="117" t="s">
        <v>6</v>
      </c>
      <c r="N317" s="116" t="s">
        <v>5</v>
      </c>
      <c r="P317" s="22">
        <f>O317*H317</f>
        <v>0</v>
      </c>
      <c r="Q317" s="22">
        <v>3.0000000000000001E-3</v>
      </c>
      <c r="R317" s="22">
        <f>Q317*H317</f>
        <v>3.0000000000000001E-3</v>
      </c>
      <c r="S317" s="22">
        <v>0</v>
      </c>
      <c r="T317" s="21">
        <f>S317*H317</f>
        <v>0</v>
      </c>
      <c r="AR317" s="6" t="s">
        <v>283</v>
      </c>
      <c r="AT317" s="6" t="s">
        <v>750</v>
      </c>
      <c r="AU317" s="6" t="s">
        <v>365</v>
      </c>
      <c r="AY317" s="7" t="s">
        <v>3</v>
      </c>
      <c r="BE317" s="8">
        <f>IF(N317="základní",J317,0)</f>
        <v>0</v>
      </c>
      <c r="BF317" s="8">
        <f>IF(N317="snížená",J317,0)</f>
        <v>0</v>
      </c>
      <c r="BG317" s="8">
        <f>IF(N317="zákl. přenesená",J317,0)</f>
        <v>0</v>
      </c>
      <c r="BH317" s="8">
        <f>IF(N317="sníž. přenesená",J317,0)</f>
        <v>0</v>
      </c>
      <c r="BI317" s="8">
        <f>IF(N317="nulová",J317,0)</f>
        <v>0</v>
      </c>
      <c r="BJ317" s="7" t="s">
        <v>2</v>
      </c>
      <c r="BK317" s="8">
        <f>ROUND(I317*H317,2)</f>
        <v>0</v>
      </c>
      <c r="BL317" s="7" t="s">
        <v>328</v>
      </c>
      <c r="BM317" s="6" t="s">
        <v>834</v>
      </c>
    </row>
    <row r="318" spans="2:65" s="2" customFormat="1" ht="16.5" customHeight="1">
      <c r="B318" s="3"/>
      <c r="C318" s="20" t="s">
        <v>184</v>
      </c>
      <c r="D318" s="20" t="s">
        <v>4</v>
      </c>
      <c r="E318" s="19" t="s">
        <v>833</v>
      </c>
      <c r="F318" s="14" t="s">
        <v>832</v>
      </c>
      <c r="G318" s="18" t="s">
        <v>722</v>
      </c>
      <c r="H318" s="17">
        <v>1</v>
      </c>
      <c r="I318" s="16"/>
      <c r="J318" s="15">
        <f>ROUND(I318*H318,2)</f>
        <v>0</v>
      </c>
      <c r="K318" s="14" t="s">
        <v>654</v>
      </c>
      <c r="L318" s="3"/>
      <c r="M318" s="24" t="s">
        <v>6</v>
      </c>
      <c r="N318" s="23" t="s">
        <v>5</v>
      </c>
      <c r="P318" s="22">
        <f>O318*H318</f>
        <v>0</v>
      </c>
      <c r="Q318" s="22">
        <v>3.3E-4</v>
      </c>
      <c r="R318" s="22">
        <f>Q318*H318</f>
        <v>3.3E-4</v>
      </c>
      <c r="S318" s="22">
        <v>0</v>
      </c>
      <c r="T318" s="21">
        <f>S318*H318</f>
        <v>0</v>
      </c>
      <c r="AR318" s="6" t="s">
        <v>328</v>
      </c>
      <c r="AT318" s="6" t="s">
        <v>4</v>
      </c>
      <c r="AU318" s="6" t="s">
        <v>365</v>
      </c>
      <c r="AY318" s="7" t="s">
        <v>3</v>
      </c>
      <c r="BE318" s="8">
        <f>IF(N318="základní",J318,0)</f>
        <v>0</v>
      </c>
      <c r="BF318" s="8">
        <f>IF(N318="snížená",J318,0)</f>
        <v>0</v>
      </c>
      <c r="BG318" s="8">
        <f>IF(N318="zákl. přenesená",J318,0)</f>
        <v>0</v>
      </c>
      <c r="BH318" s="8">
        <f>IF(N318="sníž. přenesená",J318,0)</f>
        <v>0</v>
      </c>
      <c r="BI318" s="8">
        <f>IF(N318="nulová",J318,0)</f>
        <v>0</v>
      </c>
      <c r="BJ318" s="7" t="s">
        <v>2</v>
      </c>
      <c r="BK318" s="8">
        <f>ROUND(I318*H318,2)</f>
        <v>0</v>
      </c>
      <c r="BL318" s="7" t="s">
        <v>328</v>
      </c>
      <c r="BM318" s="6" t="s">
        <v>831</v>
      </c>
    </row>
    <row r="319" spans="2:65" s="2" customFormat="1">
      <c r="B319" s="3"/>
      <c r="D319" s="107" t="s">
        <v>651</v>
      </c>
      <c r="F319" s="106" t="s">
        <v>830</v>
      </c>
      <c r="I319" s="94"/>
      <c r="L319" s="3"/>
      <c r="M319" s="100"/>
      <c r="T319" s="99"/>
      <c r="AT319" s="7" t="s">
        <v>651</v>
      </c>
      <c r="AU319" s="7" t="s">
        <v>365</v>
      </c>
    </row>
    <row r="320" spans="2:65" s="2" customFormat="1" ht="21.75" customHeight="1">
      <c r="B320" s="3"/>
      <c r="C320" s="125" t="s">
        <v>829</v>
      </c>
      <c r="D320" s="125" t="s">
        <v>750</v>
      </c>
      <c r="E320" s="124" t="s">
        <v>828</v>
      </c>
      <c r="F320" s="119" t="s">
        <v>827</v>
      </c>
      <c r="G320" s="123" t="s">
        <v>722</v>
      </c>
      <c r="H320" s="122">
        <v>1</v>
      </c>
      <c r="I320" s="121"/>
      <c r="J320" s="120">
        <f>ROUND(I320*H320,2)</f>
        <v>0</v>
      </c>
      <c r="K320" s="119" t="s">
        <v>7</v>
      </c>
      <c r="L320" s="118"/>
      <c r="M320" s="117" t="s">
        <v>6</v>
      </c>
      <c r="N320" s="116" t="s">
        <v>5</v>
      </c>
      <c r="P320" s="22">
        <f>O320*H320</f>
        <v>0</v>
      </c>
      <c r="Q320" s="22">
        <v>2.3999999999999998E-3</v>
      </c>
      <c r="R320" s="22">
        <f>Q320*H320</f>
        <v>2.3999999999999998E-3</v>
      </c>
      <c r="S320" s="22">
        <v>0</v>
      </c>
      <c r="T320" s="21">
        <f>S320*H320</f>
        <v>0</v>
      </c>
      <c r="AR320" s="6" t="s">
        <v>283</v>
      </c>
      <c r="AT320" s="6" t="s">
        <v>750</v>
      </c>
      <c r="AU320" s="6" t="s">
        <v>365</v>
      </c>
      <c r="AY320" s="7" t="s">
        <v>3</v>
      </c>
      <c r="BE320" s="8">
        <f>IF(N320="základní",J320,0)</f>
        <v>0</v>
      </c>
      <c r="BF320" s="8">
        <f>IF(N320="snížená",J320,0)</f>
        <v>0</v>
      </c>
      <c r="BG320" s="8">
        <f>IF(N320="zákl. přenesená",J320,0)</f>
        <v>0</v>
      </c>
      <c r="BH320" s="8">
        <f>IF(N320="sníž. přenesená",J320,0)</f>
        <v>0</v>
      </c>
      <c r="BI320" s="8">
        <f>IF(N320="nulová",J320,0)</f>
        <v>0</v>
      </c>
      <c r="BJ320" s="7" t="s">
        <v>2</v>
      </c>
      <c r="BK320" s="8">
        <f>ROUND(I320*H320,2)</f>
        <v>0</v>
      </c>
      <c r="BL320" s="7" t="s">
        <v>328</v>
      </c>
      <c r="BM320" s="6" t="s">
        <v>826</v>
      </c>
    </row>
    <row r="321" spans="2:65" s="2" customFormat="1" ht="16.5" customHeight="1">
      <c r="B321" s="3"/>
      <c r="C321" s="20" t="s">
        <v>180</v>
      </c>
      <c r="D321" s="20" t="s">
        <v>4</v>
      </c>
      <c r="E321" s="19" t="s">
        <v>825</v>
      </c>
      <c r="F321" s="14" t="s">
        <v>824</v>
      </c>
      <c r="G321" s="18" t="s">
        <v>722</v>
      </c>
      <c r="H321" s="17">
        <v>2</v>
      </c>
      <c r="I321" s="16"/>
      <c r="J321" s="15">
        <f>ROUND(I321*H321,2)</f>
        <v>0</v>
      </c>
      <c r="K321" s="14" t="s">
        <v>654</v>
      </c>
      <c r="L321" s="3"/>
      <c r="M321" s="24" t="s">
        <v>6</v>
      </c>
      <c r="N321" s="23" t="s">
        <v>5</v>
      </c>
      <c r="P321" s="22">
        <f>O321*H321</f>
        <v>0</v>
      </c>
      <c r="Q321" s="22">
        <v>6.0999999999999997E-4</v>
      </c>
      <c r="R321" s="22">
        <f>Q321*H321</f>
        <v>1.2199999999999999E-3</v>
      </c>
      <c r="S321" s="22">
        <v>0</v>
      </c>
      <c r="T321" s="21">
        <f>S321*H321</f>
        <v>0</v>
      </c>
      <c r="AR321" s="6" t="s">
        <v>328</v>
      </c>
      <c r="AT321" s="6" t="s">
        <v>4</v>
      </c>
      <c r="AU321" s="6" t="s">
        <v>365</v>
      </c>
      <c r="AY321" s="7" t="s">
        <v>3</v>
      </c>
      <c r="BE321" s="8">
        <f>IF(N321="základní",J321,0)</f>
        <v>0</v>
      </c>
      <c r="BF321" s="8">
        <f>IF(N321="snížená",J321,0)</f>
        <v>0</v>
      </c>
      <c r="BG321" s="8">
        <f>IF(N321="zákl. přenesená",J321,0)</f>
        <v>0</v>
      </c>
      <c r="BH321" s="8">
        <f>IF(N321="sníž. přenesená",J321,0)</f>
        <v>0</v>
      </c>
      <c r="BI321" s="8">
        <f>IF(N321="nulová",J321,0)</f>
        <v>0</v>
      </c>
      <c r="BJ321" s="7" t="s">
        <v>2</v>
      </c>
      <c r="BK321" s="8">
        <f>ROUND(I321*H321,2)</f>
        <v>0</v>
      </c>
      <c r="BL321" s="7" t="s">
        <v>328</v>
      </c>
      <c r="BM321" s="6" t="s">
        <v>823</v>
      </c>
    </row>
    <row r="322" spans="2:65" s="2" customFormat="1">
      <c r="B322" s="3"/>
      <c r="D322" s="107" t="s">
        <v>651</v>
      </c>
      <c r="F322" s="106" t="s">
        <v>822</v>
      </c>
      <c r="I322" s="94"/>
      <c r="L322" s="3"/>
      <c r="M322" s="100"/>
      <c r="T322" s="99"/>
      <c r="AT322" s="7" t="s">
        <v>651</v>
      </c>
      <c r="AU322" s="7" t="s">
        <v>365</v>
      </c>
    </row>
    <row r="323" spans="2:65" s="2" customFormat="1" ht="16.5" customHeight="1">
      <c r="B323" s="3"/>
      <c r="C323" s="125" t="s">
        <v>821</v>
      </c>
      <c r="D323" s="125" t="s">
        <v>750</v>
      </c>
      <c r="E323" s="124" t="s">
        <v>820</v>
      </c>
      <c r="F323" s="119" t="s">
        <v>819</v>
      </c>
      <c r="G323" s="123" t="s">
        <v>722</v>
      </c>
      <c r="H323" s="122">
        <v>2</v>
      </c>
      <c r="I323" s="121"/>
      <c r="J323" s="120">
        <f>ROUND(I323*H323,2)</f>
        <v>0</v>
      </c>
      <c r="K323" s="119" t="s">
        <v>7</v>
      </c>
      <c r="L323" s="118"/>
      <c r="M323" s="117" t="s">
        <v>6</v>
      </c>
      <c r="N323" s="116" t="s">
        <v>5</v>
      </c>
      <c r="P323" s="22">
        <f>O323*H323</f>
        <v>0</v>
      </c>
      <c r="Q323" s="22">
        <v>5.0000000000000001E-3</v>
      </c>
      <c r="R323" s="22">
        <f>Q323*H323</f>
        <v>0.01</v>
      </c>
      <c r="S323" s="22">
        <v>0</v>
      </c>
      <c r="T323" s="21">
        <f>S323*H323</f>
        <v>0</v>
      </c>
      <c r="AR323" s="6" t="s">
        <v>283</v>
      </c>
      <c r="AT323" s="6" t="s">
        <v>750</v>
      </c>
      <c r="AU323" s="6" t="s">
        <v>365</v>
      </c>
      <c r="AY323" s="7" t="s">
        <v>3</v>
      </c>
      <c r="BE323" s="8">
        <f>IF(N323="základní",J323,0)</f>
        <v>0</v>
      </c>
      <c r="BF323" s="8">
        <f>IF(N323="snížená",J323,0)</f>
        <v>0</v>
      </c>
      <c r="BG323" s="8">
        <f>IF(N323="zákl. přenesená",J323,0)</f>
        <v>0</v>
      </c>
      <c r="BH323" s="8">
        <f>IF(N323="sníž. přenesená",J323,0)</f>
        <v>0</v>
      </c>
      <c r="BI323" s="8">
        <f>IF(N323="nulová",J323,0)</f>
        <v>0</v>
      </c>
      <c r="BJ323" s="7" t="s">
        <v>2</v>
      </c>
      <c r="BK323" s="8">
        <f>ROUND(I323*H323,2)</f>
        <v>0</v>
      </c>
      <c r="BL323" s="7" t="s">
        <v>328</v>
      </c>
      <c r="BM323" s="6" t="s">
        <v>818</v>
      </c>
    </row>
    <row r="324" spans="2:65" s="2" customFormat="1" ht="16.5" customHeight="1">
      <c r="B324" s="3"/>
      <c r="C324" s="20" t="s">
        <v>177</v>
      </c>
      <c r="D324" s="20" t="s">
        <v>4</v>
      </c>
      <c r="E324" s="19" t="s">
        <v>817</v>
      </c>
      <c r="F324" s="14" t="s">
        <v>816</v>
      </c>
      <c r="G324" s="18" t="s">
        <v>722</v>
      </c>
      <c r="H324" s="17">
        <v>17</v>
      </c>
      <c r="I324" s="16"/>
      <c r="J324" s="15">
        <f>ROUND(I324*H324,2)</f>
        <v>0</v>
      </c>
      <c r="K324" s="14" t="s">
        <v>654</v>
      </c>
      <c r="L324" s="3"/>
      <c r="M324" s="24" t="s">
        <v>6</v>
      </c>
      <c r="N324" s="23" t="s">
        <v>5</v>
      </c>
      <c r="P324" s="22">
        <f>O324*H324</f>
        <v>0</v>
      </c>
      <c r="Q324" s="22">
        <v>2.2000000000000001E-4</v>
      </c>
      <c r="R324" s="22">
        <f>Q324*H324</f>
        <v>3.7400000000000003E-3</v>
      </c>
      <c r="S324" s="22">
        <v>0</v>
      </c>
      <c r="T324" s="21">
        <f>S324*H324</f>
        <v>0</v>
      </c>
      <c r="AR324" s="6" t="s">
        <v>328</v>
      </c>
      <c r="AT324" s="6" t="s">
        <v>4</v>
      </c>
      <c r="AU324" s="6" t="s">
        <v>365</v>
      </c>
      <c r="AY324" s="7" t="s">
        <v>3</v>
      </c>
      <c r="BE324" s="8">
        <f>IF(N324="základní",J324,0)</f>
        <v>0</v>
      </c>
      <c r="BF324" s="8">
        <f>IF(N324="snížená",J324,0)</f>
        <v>0</v>
      </c>
      <c r="BG324" s="8">
        <f>IF(N324="zákl. přenesená",J324,0)</f>
        <v>0</v>
      </c>
      <c r="BH324" s="8">
        <f>IF(N324="sníž. přenesená",J324,0)</f>
        <v>0</v>
      </c>
      <c r="BI324" s="8">
        <f>IF(N324="nulová",J324,0)</f>
        <v>0</v>
      </c>
      <c r="BJ324" s="7" t="s">
        <v>2</v>
      </c>
      <c r="BK324" s="8">
        <f>ROUND(I324*H324,2)</f>
        <v>0</v>
      </c>
      <c r="BL324" s="7" t="s">
        <v>328</v>
      </c>
      <c r="BM324" s="6" t="s">
        <v>815</v>
      </c>
    </row>
    <row r="325" spans="2:65" s="2" customFormat="1">
      <c r="B325" s="3"/>
      <c r="D325" s="107" t="s">
        <v>651</v>
      </c>
      <c r="F325" s="106" t="s">
        <v>814</v>
      </c>
      <c r="I325" s="94"/>
      <c r="L325" s="3"/>
      <c r="M325" s="100"/>
      <c r="T325" s="99"/>
      <c r="AT325" s="7" t="s">
        <v>651</v>
      </c>
      <c r="AU325" s="7" t="s">
        <v>365</v>
      </c>
    </row>
    <row r="326" spans="2:65" s="2" customFormat="1" ht="21.75" customHeight="1">
      <c r="B326" s="3"/>
      <c r="C326" s="20" t="s">
        <v>813</v>
      </c>
      <c r="D326" s="20" t="s">
        <v>4</v>
      </c>
      <c r="E326" s="19" t="s">
        <v>812</v>
      </c>
      <c r="F326" s="14" t="s">
        <v>811</v>
      </c>
      <c r="G326" s="18" t="s">
        <v>722</v>
      </c>
      <c r="H326" s="17">
        <v>10</v>
      </c>
      <c r="I326" s="16"/>
      <c r="J326" s="15">
        <f>ROUND(I326*H326,2)</f>
        <v>0</v>
      </c>
      <c r="K326" s="14" t="s">
        <v>654</v>
      </c>
      <c r="L326" s="3"/>
      <c r="M326" s="24" t="s">
        <v>6</v>
      </c>
      <c r="N326" s="23" t="s">
        <v>5</v>
      </c>
      <c r="P326" s="22">
        <f>O326*H326</f>
        <v>0</v>
      </c>
      <c r="Q326" s="22">
        <v>5.6999999999999998E-4</v>
      </c>
      <c r="R326" s="22">
        <f>Q326*H326</f>
        <v>5.7000000000000002E-3</v>
      </c>
      <c r="S326" s="22">
        <v>0</v>
      </c>
      <c r="T326" s="21">
        <f>S326*H326</f>
        <v>0</v>
      </c>
      <c r="AR326" s="6" t="s">
        <v>328</v>
      </c>
      <c r="AT326" s="6" t="s">
        <v>4</v>
      </c>
      <c r="AU326" s="6" t="s">
        <v>365</v>
      </c>
      <c r="AY326" s="7" t="s">
        <v>3</v>
      </c>
      <c r="BE326" s="8">
        <f>IF(N326="základní",J326,0)</f>
        <v>0</v>
      </c>
      <c r="BF326" s="8">
        <f>IF(N326="snížená",J326,0)</f>
        <v>0</v>
      </c>
      <c r="BG326" s="8">
        <f>IF(N326="zákl. přenesená",J326,0)</f>
        <v>0</v>
      </c>
      <c r="BH326" s="8">
        <f>IF(N326="sníž. přenesená",J326,0)</f>
        <v>0</v>
      </c>
      <c r="BI326" s="8">
        <f>IF(N326="nulová",J326,0)</f>
        <v>0</v>
      </c>
      <c r="BJ326" s="7" t="s">
        <v>2</v>
      </c>
      <c r="BK326" s="8">
        <f>ROUND(I326*H326,2)</f>
        <v>0</v>
      </c>
      <c r="BL326" s="7" t="s">
        <v>328</v>
      </c>
      <c r="BM326" s="6" t="s">
        <v>810</v>
      </c>
    </row>
    <row r="327" spans="2:65" s="2" customFormat="1">
      <c r="B327" s="3"/>
      <c r="D327" s="107" t="s">
        <v>651</v>
      </c>
      <c r="F327" s="106" t="s">
        <v>809</v>
      </c>
      <c r="I327" s="94"/>
      <c r="L327" s="3"/>
      <c r="M327" s="100"/>
      <c r="T327" s="99"/>
      <c r="AT327" s="7" t="s">
        <v>651</v>
      </c>
      <c r="AU327" s="7" t="s">
        <v>365</v>
      </c>
    </row>
    <row r="328" spans="2:65" s="2" customFormat="1" ht="24.2" customHeight="1">
      <c r="B328" s="3"/>
      <c r="C328" s="20" t="s">
        <v>174</v>
      </c>
      <c r="D328" s="20" t="s">
        <v>4</v>
      </c>
      <c r="E328" s="19" t="s">
        <v>808</v>
      </c>
      <c r="F328" s="14" t="s">
        <v>807</v>
      </c>
      <c r="G328" s="18" t="s">
        <v>722</v>
      </c>
      <c r="H328" s="17">
        <v>2</v>
      </c>
      <c r="I328" s="16"/>
      <c r="J328" s="15">
        <f>ROUND(I328*H328,2)</f>
        <v>0</v>
      </c>
      <c r="K328" s="14" t="s">
        <v>7</v>
      </c>
      <c r="L328" s="3"/>
      <c r="M328" s="24" t="s">
        <v>6</v>
      </c>
      <c r="N328" s="23" t="s">
        <v>5</v>
      </c>
      <c r="P328" s="22">
        <f>O328*H328</f>
        <v>0</v>
      </c>
      <c r="Q328" s="22">
        <v>5.8E-4</v>
      </c>
      <c r="R328" s="22">
        <f>Q328*H328</f>
        <v>1.16E-3</v>
      </c>
      <c r="S328" s="22">
        <v>0</v>
      </c>
      <c r="T328" s="21">
        <f>S328*H328</f>
        <v>0</v>
      </c>
      <c r="AR328" s="6" t="s">
        <v>328</v>
      </c>
      <c r="AT328" s="6" t="s">
        <v>4</v>
      </c>
      <c r="AU328" s="6" t="s">
        <v>365</v>
      </c>
      <c r="AY328" s="7" t="s">
        <v>3</v>
      </c>
      <c r="BE328" s="8">
        <f>IF(N328="základní",J328,0)</f>
        <v>0</v>
      </c>
      <c r="BF328" s="8">
        <f>IF(N328="snížená",J328,0)</f>
        <v>0</v>
      </c>
      <c r="BG328" s="8">
        <f>IF(N328="zákl. přenesená",J328,0)</f>
        <v>0</v>
      </c>
      <c r="BH328" s="8">
        <f>IF(N328="sníž. přenesená",J328,0)</f>
        <v>0</v>
      </c>
      <c r="BI328" s="8">
        <f>IF(N328="nulová",J328,0)</f>
        <v>0</v>
      </c>
      <c r="BJ328" s="7" t="s">
        <v>2</v>
      </c>
      <c r="BK328" s="8">
        <f>ROUND(I328*H328,2)</f>
        <v>0</v>
      </c>
      <c r="BL328" s="7" t="s">
        <v>328</v>
      </c>
      <c r="BM328" s="6" t="s">
        <v>806</v>
      </c>
    </row>
    <row r="329" spans="2:65" s="2" customFormat="1" ht="21.75" customHeight="1">
      <c r="B329" s="3"/>
      <c r="C329" s="20" t="s">
        <v>805</v>
      </c>
      <c r="D329" s="20" t="s">
        <v>4</v>
      </c>
      <c r="E329" s="19" t="s">
        <v>804</v>
      </c>
      <c r="F329" s="14" t="s">
        <v>803</v>
      </c>
      <c r="G329" s="18" t="s">
        <v>722</v>
      </c>
      <c r="H329" s="17">
        <v>2</v>
      </c>
      <c r="I329" s="16"/>
      <c r="J329" s="15">
        <f>ROUND(I329*H329,2)</f>
        <v>0</v>
      </c>
      <c r="K329" s="14" t="s">
        <v>654</v>
      </c>
      <c r="L329" s="3"/>
      <c r="M329" s="24" t="s">
        <v>6</v>
      </c>
      <c r="N329" s="23" t="s">
        <v>5</v>
      </c>
      <c r="P329" s="22">
        <f>O329*H329</f>
        <v>0</v>
      </c>
      <c r="Q329" s="22">
        <v>1.47E-3</v>
      </c>
      <c r="R329" s="22">
        <f>Q329*H329</f>
        <v>2.9399999999999999E-3</v>
      </c>
      <c r="S329" s="22">
        <v>0</v>
      </c>
      <c r="T329" s="21">
        <f>S329*H329</f>
        <v>0</v>
      </c>
      <c r="AR329" s="6" t="s">
        <v>328</v>
      </c>
      <c r="AT329" s="6" t="s">
        <v>4</v>
      </c>
      <c r="AU329" s="6" t="s">
        <v>365</v>
      </c>
      <c r="AY329" s="7" t="s">
        <v>3</v>
      </c>
      <c r="BE329" s="8">
        <f>IF(N329="základní",J329,0)</f>
        <v>0</v>
      </c>
      <c r="BF329" s="8">
        <f>IF(N329="snížená",J329,0)</f>
        <v>0</v>
      </c>
      <c r="BG329" s="8">
        <f>IF(N329="zákl. přenesená",J329,0)</f>
        <v>0</v>
      </c>
      <c r="BH329" s="8">
        <f>IF(N329="sníž. přenesená",J329,0)</f>
        <v>0</v>
      </c>
      <c r="BI329" s="8">
        <f>IF(N329="nulová",J329,0)</f>
        <v>0</v>
      </c>
      <c r="BJ329" s="7" t="s">
        <v>2</v>
      </c>
      <c r="BK329" s="8">
        <f>ROUND(I329*H329,2)</f>
        <v>0</v>
      </c>
      <c r="BL329" s="7" t="s">
        <v>328</v>
      </c>
      <c r="BM329" s="6" t="s">
        <v>802</v>
      </c>
    </row>
    <row r="330" spans="2:65" s="2" customFormat="1">
      <c r="B330" s="3"/>
      <c r="D330" s="107" t="s">
        <v>651</v>
      </c>
      <c r="F330" s="106" t="s">
        <v>801</v>
      </c>
      <c r="I330" s="94"/>
      <c r="L330" s="3"/>
      <c r="M330" s="100"/>
      <c r="T330" s="99"/>
      <c r="AT330" s="7" t="s">
        <v>651</v>
      </c>
      <c r="AU330" s="7" t="s">
        <v>365</v>
      </c>
    </row>
    <row r="331" spans="2:65" s="2" customFormat="1" ht="16.5" customHeight="1">
      <c r="B331" s="3"/>
      <c r="C331" s="20" t="s">
        <v>170</v>
      </c>
      <c r="D331" s="20" t="s">
        <v>4</v>
      </c>
      <c r="E331" s="19" t="s">
        <v>800</v>
      </c>
      <c r="F331" s="14" t="s">
        <v>799</v>
      </c>
      <c r="G331" s="18" t="s">
        <v>722</v>
      </c>
      <c r="H331" s="17">
        <v>2</v>
      </c>
      <c r="I331" s="16"/>
      <c r="J331" s="15">
        <f>ROUND(I331*H331,2)</f>
        <v>0</v>
      </c>
      <c r="K331" s="14" t="s">
        <v>7</v>
      </c>
      <c r="L331" s="3"/>
      <c r="M331" s="24" t="s">
        <v>6</v>
      </c>
      <c r="N331" s="23" t="s">
        <v>5</v>
      </c>
      <c r="P331" s="22">
        <f>O331*H331</f>
        <v>0</v>
      </c>
      <c r="Q331" s="22">
        <v>1.4999999999999999E-4</v>
      </c>
      <c r="R331" s="22">
        <f>Q331*H331</f>
        <v>2.9999999999999997E-4</v>
      </c>
      <c r="S331" s="22">
        <v>0</v>
      </c>
      <c r="T331" s="21">
        <f>S331*H331</f>
        <v>0</v>
      </c>
      <c r="AR331" s="6" t="s">
        <v>328</v>
      </c>
      <c r="AT331" s="6" t="s">
        <v>4</v>
      </c>
      <c r="AU331" s="6" t="s">
        <v>365</v>
      </c>
      <c r="AY331" s="7" t="s">
        <v>3</v>
      </c>
      <c r="BE331" s="8">
        <f>IF(N331="základní",J331,0)</f>
        <v>0</v>
      </c>
      <c r="BF331" s="8">
        <f>IF(N331="snížená",J331,0)</f>
        <v>0</v>
      </c>
      <c r="BG331" s="8">
        <f>IF(N331="zákl. přenesená",J331,0)</f>
        <v>0</v>
      </c>
      <c r="BH331" s="8">
        <f>IF(N331="sníž. přenesená",J331,0)</f>
        <v>0</v>
      </c>
      <c r="BI331" s="8">
        <f>IF(N331="nulová",J331,0)</f>
        <v>0</v>
      </c>
      <c r="BJ331" s="7" t="s">
        <v>2</v>
      </c>
      <c r="BK331" s="8">
        <f>ROUND(I331*H331,2)</f>
        <v>0</v>
      </c>
      <c r="BL331" s="7" t="s">
        <v>328</v>
      </c>
      <c r="BM331" s="6" t="s">
        <v>798</v>
      </c>
    </row>
    <row r="332" spans="2:65" s="2" customFormat="1" ht="16.5" customHeight="1">
      <c r="B332" s="3"/>
      <c r="C332" s="20" t="s">
        <v>797</v>
      </c>
      <c r="D332" s="20" t="s">
        <v>4</v>
      </c>
      <c r="E332" s="19" t="s">
        <v>796</v>
      </c>
      <c r="F332" s="14" t="s">
        <v>795</v>
      </c>
      <c r="G332" s="18" t="s">
        <v>722</v>
      </c>
      <c r="H332" s="17">
        <v>17</v>
      </c>
      <c r="I332" s="16"/>
      <c r="J332" s="15">
        <f>ROUND(I332*H332,2)</f>
        <v>0</v>
      </c>
      <c r="K332" s="14" t="s">
        <v>654</v>
      </c>
      <c r="L332" s="3"/>
      <c r="M332" s="24" t="s">
        <v>6</v>
      </c>
      <c r="N332" s="23" t="s">
        <v>5</v>
      </c>
      <c r="P332" s="22">
        <f>O332*H332</f>
        <v>0</v>
      </c>
      <c r="Q332" s="22">
        <v>2.4000000000000001E-4</v>
      </c>
      <c r="R332" s="22">
        <f>Q332*H332</f>
        <v>4.0800000000000003E-3</v>
      </c>
      <c r="S332" s="22">
        <v>0</v>
      </c>
      <c r="T332" s="21">
        <f>S332*H332</f>
        <v>0</v>
      </c>
      <c r="AR332" s="6" t="s">
        <v>328</v>
      </c>
      <c r="AT332" s="6" t="s">
        <v>4</v>
      </c>
      <c r="AU332" s="6" t="s">
        <v>365</v>
      </c>
      <c r="AY332" s="7" t="s">
        <v>3</v>
      </c>
      <c r="BE332" s="8">
        <f>IF(N332="základní",J332,0)</f>
        <v>0</v>
      </c>
      <c r="BF332" s="8">
        <f>IF(N332="snížená",J332,0)</f>
        <v>0</v>
      </c>
      <c r="BG332" s="8">
        <f>IF(N332="zákl. přenesená",J332,0)</f>
        <v>0</v>
      </c>
      <c r="BH332" s="8">
        <f>IF(N332="sníž. přenesená",J332,0)</f>
        <v>0</v>
      </c>
      <c r="BI332" s="8">
        <f>IF(N332="nulová",J332,0)</f>
        <v>0</v>
      </c>
      <c r="BJ332" s="7" t="s">
        <v>2</v>
      </c>
      <c r="BK332" s="8">
        <f>ROUND(I332*H332,2)</f>
        <v>0</v>
      </c>
      <c r="BL332" s="7" t="s">
        <v>328</v>
      </c>
      <c r="BM332" s="6" t="s">
        <v>794</v>
      </c>
    </row>
    <row r="333" spans="2:65" s="2" customFormat="1">
      <c r="B333" s="3"/>
      <c r="D333" s="107" t="s">
        <v>651</v>
      </c>
      <c r="F333" s="106" t="s">
        <v>793</v>
      </c>
      <c r="I333" s="94"/>
      <c r="L333" s="3"/>
      <c r="M333" s="100"/>
      <c r="T333" s="99"/>
      <c r="AT333" s="7" t="s">
        <v>651</v>
      </c>
      <c r="AU333" s="7" t="s">
        <v>365</v>
      </c>
    </row>
    <row r="334" spans="2:65" s="2" customFormat="1" ht="39">
      <c r="B334" s="3"/>
      <c r="D334" s="96" t="s">
        <v>731</v>
      </c>
      <c r="F334" s="95" t="s">
        <v>788</v>
      </c>
      <c r="I334" s="94"/>
      <c r="L334" s="3"/>
      <c r="M334" s="100"/>
      <c r="T334" s="99"/>
      <c r="AT334" s="7" t="s">
        <v>731</v>
      </c>
      <c r="AU334" s="7" t="s">
        <v>365</v>
      </c>
    </row>
    <row r="335" spans="2:65" s="2" customFormat="1" ht="16.5" customHeight="1">
      <c r="B335" s="3"/>
      <c r="C335" s="20" t="s">
        <v>167</v>
      </c>
      <c r="D335" s="20" t="s">
        <v>4</v>
      </c>
      <c r="E335" s="19" t="s">
        <v>792</v>
      </c>
      <c r="F335" s="14" t="s">
        <v>791</v>
      </c>
      <c r="G335" s="18" t="s">
        <v>722</v>
      </c>
      <c r="H335" s="17">
        <v>10</v>
      </c>
      <c r="I335" s="16"/>
      <c r="J335" s="15">
        <f>ROUND(I335*H335,2)</f>
        <v>0</v>
      </c>
      <c r="K335" s="14" t="s">
        <v>654</v>
      </c>
      <c r="L335" s="3"/>
      <c r="M335" s="24" t="s">
        <v>6</v>
      </c>
      <c r="N335" s="23" t="s">
        <v>5</v>
      </c>
      <c r="P335" s="22">
        <f>O335*H335</f>
        <v>0</v>
      </c>
      <c r="Q335" s="22">
        <v>1.4999999999999999E-4</v>
      </c>
      <c r="R335" s="22">
        <f>Q335*H335</f>
        <v>1.4999999999999998E-3</v>
      </c>
      <c r="S335" s="22">
        <v>0</v>
      </c>
      <c r="T335" s="21">
        <f>S335*H335</f>
        <v>0</v>
      </c>
      <c r="AR335" s="6" t="s">
        <v>328</v>
      </c>
      <c r="AT335" s="6" t="s">
        <v>4</v>
      </c>
      <c r="AU335" s="6" t="s">
        <v>365</v>
      </c>
      <c r="AY335" s="7" t="s">
        <v>3</v>
      </c>
      <c r="BE335" s="8">
        <f>IF(N335="základní",J335,0)</f>
        <v>0</v>
      </c>
      <c r="BF335" s="8">
        <f>IF(N335="snížená",J335,0)</f>
        <v>0</v>
      </c>
      <c r="BG335" s="8">
        <f>IF(N335="zákl. přenesená",J335,0)</f>
        <v>0</v>
      </c>
      <c r="BH335" s="8">
        <f>IF(N335="sníž. přenesená",J335,0)</f>
        <v>0</v>
      </c>
      <c r="BI335" s="8">
        <f>IF(N335="nulová",J335,0)</f>
        <v>0</v>
      </c>
      <c r="BJ335" s="7" t="s">
        <v>2</v>
      </c>
      <c r="BK335" s="8">
        <f>ROUND(I335*H335,2)</f>
        <v>0</v>
      </c>
      <c r="BL335" s="7" t="s">
        <v>328</v>
      </c>
      <c r="BM335" s="6" t="s">
        <v>790</v>
      </c>
    </row>
    <row r="336" spans="2:65" s="2" customFormat="1">
      <c r="B336" s="3"/>
      <c r="D336" s="107" t="s">
        <v>651</v>
      </c>
      <c r="F336" s="106" t="s">
        <v>789</v>
      </c>
      <c r="I336" s="94"/>
      <c r="L336" s="3"/>
      <c r="M336" s="100"/>
      <c r="T336" s="99"/>
      <c r="AT336" s="7" t="s">
        <v>651</v>
      </c>
      <c r="AU336" s="7" t="s">
        <v>365</v>
      </c>
    </row>
    <row r="337" spans="2:65" s="2" customFormat="1" ht="39">
      <c r="B337" s="3"/>
      <c r="D337" s="96" t="s">
        <v>731</v>
      </c>
      <c r="F337" s="95" t="s">
        <v>788</v>
      </c>
      <c r="I337" s="94"/>
      <c r="L337" s="3"/>
      <c r="M337" s="100"/>
      <c r="T337" s="99"/>
      <c r="AT337" s="7" t="s">
        <v>731</v>
      </c>
      <c r="AU337" s="7" t="s">
        <v>365</v>
      </c>
    </row>
    <row r="338" spans="2:65" s="2" customFormat="1" ht="24.2" customHeight="1">
      <c r="B338" s="3"/>
      <c r="C338" s="20" t="s">
        <v>787</v>
      </c>
      <c r="D338" s="20" t="s">
        <v>4</v>
      </c>
      <c r="E338" s="19" t="s">
        <v>786</v>
      </c>
      <c r="F338" s="14" t="s">
        <v>785</v>
      </c>
      <c r="G338" s="18" t="s">
        <v>735</v>
      </c>
      <c r="H338" s="17">
        <v>0.12</v>
      </c>
      <c r="I338" s="16"/>
      <c r="J338" s="15">
        <f>ROUND(I338*H338,2)</f>
        <v>0</v>
      </c>
      <c r="K338" s="14" t="s">
        <v>654</v>
      </c>
      <c r="L338" s="3"/>
      <c r="M338" s="24" t="s">
        <v>6</v>
      </c>
      <c r="N338" s="23" t="s">
        <v>5</v>
      </c>
      <c r="P338" s="22">
        <f>O338*H338</f>
        <v>0</v>
      </c>
      <c r="Q338" s="22">
        <v>0</v>
      </c>
      <c r="R338" s="22">
        <f>Q338*H338</f>
        <v>0</v>
      </c>
      <c r="S338" s="22">
        <v>0</v>
      </c>
      <c r="T338" s="21">
        <f>S338*H338</f>
        <v>0</v>
      </c>
      <c r="AR338" s="6" t="s">
        <v>328</v>
      </c>
      <c r="AT338" s="6" t="s">
        <v>4</v>
      </c>
      <c r="AU338" s="6" t="s">
        <v>365</v>
      </c>
      <c r="AY338" s="7" t="s">
        <v>3</v>
      </c>
      <c r="BE338" s="8">
        <f>IF(N338="základní",J338,0)</f>
        <v>0</v>
      </c>
      <c r="BF338" s="8">
        <f>IF(N338="snížená",J338,0)</f>
        <v>0</v>
      </c>
      <c r="BG338" s="8">
        <f>IF(N338="zákl. přenesená",J338,0)</f>
        <v>0</v>
      </c>
      <c r="BH338" s="8">
        <f>IF(N338="sníž. přenesená",J338,0)</f>
        <v>0</v>
      </c>
      <c r="BI338" s="8">
        <f>IF(N338="nulová",J338,0)</f>
        <v>0</v>
      </c>
      <c r="BJ338" s="7" t="s">
        <v>2</v>
      </c>
      <c r="BK338" s="8">
        <f>ROUND(I338*H338,2)</f>
        <v>0</v>
      </c>
      <c r="BL338" s="7" t="s">
        <v>328</v>
      </c>
      <c r="BM338" s="6" t="s">
        <v>784</v>
      </c>
    </row>
    <row r="339" spans="2:65" s="2" customFormat="1">
      <c r="B339" s="3"/>
      <c r="D339" s="107" t="s">
        <v>651</v>
      </c>
      <c r="F339" s="106" t="s">
        <v>783</v>
      </c>
      <c r="I339" s="94"/>
      <c r="L339" s="3"/>
      <c r="M339" s="100"/>
      <c r="T339" s="99"/>
      <c r="AT339" s="7" t="s">
        <v>651</v>
      </c>
      <c r="AU339" s="7" t="s">
        <v>365</v>
      </c>
    </row>
    <row r="340" spans="2:65" s="2" customFormat="1" ht="78">
      <c r="B340" s="3"/>
      <c r="D340" s="96" t="s">
        <v>731</v>
      </c>
      <c r="F340" s="95" t="s">
        <v>778</v>
      </c>
      <c r="I340" s="94"/>
      <c r="L340" s="3"/>
      <c r="M340" s="100"/>
      <c r="T340" s="99"/>
      <c r="AT340" s="7" t="s">
        <v>731</v>
      </c>
      <c r="AU340" s="7" t="s">
        <v>365</v>
      </c>
    </row>
    <row r="341" spans="2:65" s="2" customFormat="1" ht="24.2" customHeight="1">
      <c r="B341" s="3"/>
      <c r="C341" s="20" t="s">
        <v>164</v>
      </c>
      <c r="D341" s="20" t="s">
        <v>4</v>
      </c>
      <c r="E341" s="19" t="s">
        <v>782</v>
      </c>
      <c r="F341" s="14" t="s">
        <v>781</v>
      </c>
      <c r="G341" s="18" t="s">
        <v>735</v>
      </c>
      <c r="H341" s="17">
        <v>0.12</v>
      </c>
      <c r="I341" s="16"/>
      <c r="J341" s="15">
        <f>ROUND(I341*H341,2)</f>
        <v>0</v>
      </c>
      <c r="K341" s="14" t="s">
        <v>654</v>
      </c>
      <c r="L341" s="3"/>
      <c r="M341" s="24" t="s">
        <v>6</v>
      </c>
      <c r="N341" s="23" t="s">
        <v>5</v>
      </c>
      <c r="P341" s="22">
        <f>O341*H341</f>
        <v>0</v>
      </c>
      <c r="Q341" s="22">
        <v>0</v>
      </c>
      <c r="R341" s="22">
        <f>Q341*H341</f>
        <v>0</v>
      </c>
      <c r="S341" s="22">
        <v>0</v>
      </c>
      <c r="T341" s="21">
        <f>S341*H341</f>
        <v>0</v>
      </c>
      <c r="AR341" s="6" t="s">
        <v>328</v>
      </c>
      <c r="AT341" s="6" t="s">
        <v>4</v>
      </c>
      <c r="AU341" s="6" t="s">
        <v>365</v>
      </c>
      <c r="AY341" s="7" t="s">
        <v>3</v>
      </c>
      <c r="BE341" s="8">
        <f>IF(N341="základní",J341,0)</f>
        <v>0</v>
      </c>
      <c r="BF341" s="8">
        <f>IF(N341="snížená",J341,0)</f>
        <v>0</v>
      </c>
      <c r="BG341" s="8">
        <f>IF(N341="zákl. přenesená",J341,0)</f>
        <v>0</v>
      </c>
      <c r="BH341" s="8">
        <f>IF(N341="sníž. přenesená",J341,0)</f>
        <v>0</v>
      </c>
      <c r="BI341" s="8">
        <f>IF(N341="nulová",J341,0)</f>
        <v>0</v>
      </c>
      <c r="BJ341" s="7" t="s">
        <v>2</v>
      </c>
      <c r="BK341" s="8">
        <f>ROUND(I341*H341,2)</f>
        <v>0</v>
      </c>
      <c r="BL341" s="7" t="s">
        <v>328</v>
      </c>
      <c r="BM341" s="6" t="s">
        <v>780</v>
      </c>
    </row>
    <row r="342" spans="2:65" s="2" customFormat="1">
      <c r="B342" s="3"/>
      <c r="D342" s="107" t="s">
        <v>651</v>
      </c>
      <c r="F342" s="106" t="s">
        <v>779</v>
      </c>
      <c r="I342" s="94"/>
      <c r="L342" s="3"/>
      <c r="M342" s="100"/>
      <c r="T342" s="99"/>
      <c r="AT342" s="7" t="s">
        <v>651</v>
      </c>
      <c r="AU342" s="7" t="s">
        <v>365</v>
      </c>
    </row>
    <row r="343" spans="2:65" s="2" customFormat="1" ht="78">
      <c r="B343" s="3"/>
      <c r="D343" s="96" t="s">
        <v>731</v>
      </c>
      <c r="F343" s="95" t="s">
        <v>778</v>
      </c>
      <c r="I343" s="94"/>
      <c r="L343" s="3"/>
      <c r="M343" s="100"/>
      <c r="T343" s="99"/>
      <c r="AT343" s="7" t="s">
        <v>731</v>
      </c>
      <c r="AU343" s="7" t="s">
        <v>365</v>
      </c>
    </row>
    <row r="344" spans="2:65" s="2" customFormat="1" ht="16.5" customHeight="1">
      <c r="B344" s="3"/>
      <c r="C344" s="20" t="s">
        <v>777</v>
      </c>
      <c r="D344" s="20" t="s">
        <v>4</v>
      </c>
      <c r="E344" s="19" t="s">
        <v>776</v>
      </c>
      <c r="F344" s="14" t="s">
        <v>775</v>
      </c>
      <c r="G344" s="18" t="s">
        <v>722</v>
      </c>
      <c r="H344" s="17">
        <v>2</v>
      </c>
      <c r="I344" s="16"/>
      <c r="J344" s="15">
        <f>ROUND(I344*H344,2)</f>
        <v>0</v>
      </c>
      <c r="K344" s="14" t="s">
        <v>654</v>
      </c>
      <c r="L344" s="3"/>
      <c r="M344" s="24" t="s">
        <v>6</v>
      </c>
      <c r="N344" s="23" t="s">
        <v>5</v>
      </c>
      <c r="P344" s="22">
        <f>O344*H344</f>
        <v>0</v>
      </c>
      <c r="Q344" s="22">
        <v>4.0000000000000003E-5</v>
      </c>
      <c r="R344" s="22">
        <f>Q344*H344</f>
        <v>8.0000000000000007E-5</v>
      </c>
      <c r="S344" s="22">
        <v>4.4999999999999999E-4</v>
      </c>
      <c r="T344" s="21">
        <f>S344*H344</f>
        <v>8.9999999999999998E-4</v>
      </c>
      <c r="AR344" s="6" t="s">
        <v>328</v>
      </c>
      <c r="AT344" s="6" t="s">
        <v>4</v>
      </c>
      <c r="AU344" s="6" t="s">
        <v>365</v>
      </c>
      <c r="AY344" s="7" t="s">
        <v>3</v>
      </c>
      <c r="BE344" s="8">
        <f>IF(N344="základní",J344,0)</f>
        <v>0</v>
      </c>
      <c r="BF344" s="8">
        <f>IF(N344="snížená",J344,0)</f>
        <v>0</v>
      </c>
      <c r="BG344" s="8">
        <f>IF(N344="zákl. přenesená",J344,0)</f>
        <v>0</v>
      </c>
      <c r="BH344" s="8">
        <f>IF(N344="sníž. přenesená",J344,0)</f>
        <v>0</v>
      </c>
      <c r="BI344" s="8">
        <f>IF(N344="nulová",J344,0)</f>
        <v>0</v>
      </c>
      <c r="BJ344" s="7" t="s">
        <v>2</v>
      </c>
      <c r="BK344" s="8">
        <f>ROUND(I344*H344,2)</f>
        <v>0</v>
      </c>
      <c r="BL344" s="7" t="s">
        <v>328</v>
      </c>
      <c r="BM344" s="6" t="s">
        <v>774</v>
      </c>
    </row>
    <row r="345" spans="2:65" s="2" customFormat="1">
      <c r="B345" s="3"/>
      <c r="D345" s="107" t="s">
        <v>651</v>
      </c>
      <c r="F345" s="106" t="s">
        <v>773</v>
      </c>
      <c r="I345" s="94"/>
      <c r="L345" s="3"/>
      <c r="M345" s="100"/>
      <c r="T345" s="99"/>
      <c r="AT345" s="7" t="s">
        <v>651</v>
      </c>
      <c r="AU345" s="7" t="s">
        <v>365</v>
      </c>
    </row>
    <row r="346" spans="2:65" s="2" customFormat="1" ht="16.5" customHeight="1">
      <c r="B346" s="3"/>
      <c r="C346" s="20" t="s">
        <v>160</v>
      </c>
      <c r="D346" s="20" t="s">
        <v>4</v>
      </c>
      <c r="E346" s="19" t="s">
        <v>772</v>
      </c>
      <c r="F346" s="14" t="s">
        <v>771</v>
      </c>
      <c r="G346" s="18" t="s">
        <v>722</v>
      </c>
      <c r="H346" s="17">
        <v>8</v>
      </c>
      <c r="I346" s="16"/>
      <c r="J346" s="15">
        <f>ROUND(I346*H346,2)</f>
        <v>0</v>
      </c>
      <c r="K346" s="14" t="s">
        <v>654</v>
      </c>
      <c r="L346" s="3"/>
      <c r="M346" s="24" t="s">
        <v>6</v>
      </c>
      <c r="N346" s="23" t="s">
        <v>5</v>
      </c>
      <c r="P346" s="22">
        <f>O346*H346</f>
        <v>0</v>
      </c>
      <c r="Q346" s="22">
        <v>2.1000000000000001E-4</v>
      </c>
      <c r="R346" s="22">
        <f>Q346*H346</f>
        <v>1.6800000000000001E-3</v>
      </c>
      <c r="S346" s="22">
        <v>3.5000000000000001E-3</v>
      </c>
      <c r="T346" s="21">
        <f>S346*H346</f>
        <v>2.8000000000000001E-2</v>
      </c>
      <c r="AR346" s="6" t="s">
        <v>328</v>
      </c>
      <c r="AT346" s="6" t="s">
        <v>4</v>
      </c>
      <c r="AU346" s="6" t="s">
        <v>365</v>
      </c>
      <c r="AY346" s="7" t="s">
        <v>3</v>
      </c>
      <c r="BE346" s="8">
        <f>IF(N346="základní",J346,0)</f>
        <v>0</v>
      </c>
      <c r="BF346" s="8">
        <f>IF(N346="snížená",J346,0)</f>
        <v>0</v>
      </c>
      <c r="BG346" s="8">
        <f>IF(N346="zákl. přenesená",J346,0)</f>
        <v>0</v>
      </c>
      <c r="BH346" s="8">
        <f>IF(N346="sníž. přenesená",J346,0)</f>
        <v>0</v>
      </c>
      <c r="BI346" s="8">
        <f>IF(N346="nulová",J346,0)</f>
        <v>0</v>
      </c>
      <c r="BJ346" s="7" t="s">
        <v>2</v>
      </c>
      <c r="BK346" s="8">
        <f>ROUND(I346*H346,2)</f>
        <v>0</v>
      </c>
      <c r="BL346" s="7" t="s">
        <v>328</v>
      </c>
      <c r="BM346" s="6" t="s">
        <v>770</v>
      </c>
    </row>
    <row r="347" spans="2:65" s="2" customFormat="1">
      <c r="B347" s="3"/>
      <c r="D347" s="107" t="s">
        <v>651</v>
      </c>
      <c r="F347" s="106" t="s">
        <v>769</v>
      </c>
      <c r="I347" s="94"/>
      <c r="L347" s="3"/>
      <c r="M347" s="100"/>
      <c r="T347" s="99"/>
      <c r="AT347" s="7" t="s">
        <v>651</v>
      </c>
      <c r="AU347" s="7" t="s">
        <v>365</v>
      </c>
    </row>
    <row r="348" spans="2:65" s="2" customFormat="1" ht="16.5" customHeight="1">
      <c r="B348" s="3"/>
      <c r="C348" s="20" t="s">
        <v>768</v>
      </c>
      <c r="D348" s="20" t="s">
        <v>4</v>
      </c>
      <c r="E348" s="19" t="s">
        <v>767</v>
      </c>
      <c r="F348" s="14" t="s">
        <v>766</v>
      </c>
      <c r="G348" s="18" t="s">
        <v>722</v>
      </c>
      <c r="H348" s="17">
        <v>2</v>
      </c>
      <c r="I348" s="16"/>
      <c r="J348" s="15">
        <f>ROUND(I348*H348,2)</f>
        <v>0</v>
      </c>
      <c r="K348" s="14" t="s">
        <v>654</v>
      </c>
      <c r="L348" s="3"/>
      <c r="M348" s="24" t="s">
        <v>6</v>
      </c>
      <c r="N348" s="23" t="s">
        <v>5</v>
      </c>
      <c r="P348" s="22">
        <f>O348*H348</f>
        <v>0</v>
      </c>
      <c r="Q348" s="22">
        <v>1.0000000000000001E-5</v>
      </c>
      <c r="R348" s="22">
        <f>Q348*H348</f>
        <v>2.0000000000000002E-5</v>
      </c>
      <c r="S348" s="22">
        <v>1.07E-3</v>
      </c>
      <c r="T348" s="21">
        <f>S348*H348</f>
        <v>2.14E-3</v>
      </c>
      <c r="AR348" s="6" t="s">
        <v>328</v>
      </c>
      <c r="AT348" s="6" t="s">
        <v>4</v>
      </c>
      <c r="AU348" s="6" t="s">
        <v>365</v>
      </c>
      <c r="AY348" s="7" t="s">
        <v>3</v>
      </c>
      <c r="BE348" s="8">
        <f>IF(N348="základní",J348,0)</f>
        <v>0</v>
      </c>
      <c r="BF348" s="8">
        <f>IF(N348="snížená",J348,0)</f>
        <v>0</v>
      </c>
      <c r="BG348" s="8">
        <f>IF(N348="zákl. přenesená",J348,0)</f>
        <v>0</v>
      </c>
      <c r="BH348" s="8">
        <f>IF(N348="sníž. přenesená",J348,0)</f>
        <v>0</v>
      </c>
      <c r="BI348" s="8">
        <f>IF(N348="nulová",J348,0)</f>
        <v>0</v>
      </c>
      <c r="BJ348" s="7" t="s">
        <v>2</v>
      </c>
      <c r="BK348" s="8">
        <f>ROUND(I348*H348,2)</f>
        <v>0</v>
      </c>
      <c r="BL348" s="7" t="s">
        <v>328</v>
      </c>
      <c r="BM348" s="6" t="s">
        <v>765</v>
      </c>
    </row>
    <row r="349" spans="2:65" s="2" customFormat="1">
      <c r="B349" s="3"/>
      <c r="D349" s="107" t="s">
        <v>651</v>
      </c>
      <c r="F349" s="106" t="s">
        <v>764</v>
      </c>
      <c r="I349" s="94"/>
      <c r="L349" s="3"/>
      <c r="M349" s="100"/>
      <c r="T349" s="99"/>
      <c r="AT349" s="7" t="s">
        <v>651</v>
      </c>
      <c r="AU349" s="7" t="s">
        <v>365</v>
      </c>
    </row>
    <row r="350" spans="2:65" s="2" customFormat="1" ht="16.5" customHeight="1">
      <c r="B350" s="3"/>
      <c r="C350" s="20" t="s">
        <v>156</v>
      </c>
      <c r="D350" s="20" t="s">
        <v>4</v>
      </c>
      <c r="E350" s="19" t="s">
        <v>763</v>
      </c>
      <c r="F350" s="14" t="s">
        <v>762</v>
      </c>
      <c r="G350" s="18" t="s">
        <v>722</v>
      </c>
      <c r="H350" s="17">
        <v>2</v>
      </c>
      <c r="I350" s="16"/>
      <c r="J350" s="15">
        <f>ROUND(I350*H350,2)</f>
        <v>0</v>
      </c>
      <c r="K350" s="14" t="s">
        <v>654</v>
      </c>
      <c r="L350" s="3"/>
      <c r="M350" s="24" t="s">
        <v>6</v>
      </c>
      <c r="N350" s="23" t="s">
        <v>5</v>
      </c>
      <c r="P350" s="22">
        <f>O350*H350</f>
        <v>0</v>
      </c>
      <c r="Q350" s="22">
        <v>0</v>
      </c>
      <c r="R350" s="22">
        <f>Q350*H350</f>
        <v>0</v>
      </c>
      <c r="S350" s="22">
        <v>1.91E-3</v>
      </c>
      <c r="T350" s="21">
        <f>S350*H350</f>
        <v>3.82E-3</v>
      </c>
      <c r="AR350" s="6" t="s">
        <v>328</v>
      </c>
      <c r="AT350" s="6" t="s">
        <v>4</v>
      </c>
      <c r="AU350" s="6" t="s">
        <v>365</v>
      </c>
      <c r="AY350" s="7" t="s">
        <v>3</v>
      </c>
      <c r="BE350" s="8">
        <f>IF(N350="základní",J350,0)</f>
        <v>0</v>
      </c>
      <c r="BF350" s="8">
        <f>IF(N350="snížená",J350,0)</f>
        <v>0</v>
      </c>
      <c r="BG350" s="8">
        <f>IF(N350="zákl. přenesená",J350,0)</f>
        <v>0</v>
      </c>
      <c r="BH350" s="8">
        <f>IF(N350="sníž. přenesená",J350,0)</f>
        <v>0</v>
      </c>
      <c r="BI350" s="8">
        <f>IF(N350="nulová",J350,0)</f>
        <v>0</v>
      </c>
      <c r="BJ350" s="7" t="s">
        <v>2</v>
      </c>
      <c r="BK350" s="8">
        <f>ROUND(I350*H350,2)</f>
        <v>0</v>
      </c>
      <c r="BL350" s="7" t="s">
        <v>328</v>
      </c>
      <c r="BM350" s="6" t="s">
        <v>761</v>
      </c>
    </row>
    <row r="351" spans="2:65" s="2" customFormat="1">
      <c r="B351" s="3"/>
      <c r="D351" s="107" t="s">
        <v>651</v>
      </c>
      <c r="F351" s="106" t="s">
        <v>760</v>
      </c>
      <c r="I351" s="94"/>
      <c r="L351" s="3"/>
      <c r="M351" s="100"/>
      <c r="T351" s="99"/>
      <c r="AT351" s="7" t="s">
        <v>651</v>
      </c>
      <c r="AU351" s="7" t="s">
        <v>365</v>
      </c>
    </row>
    <row r="352" spans="2:65" s="25" customFormat="1" ht="22.9" customHeight="1">
      <c r="B352" s="32"/>
      <c r="D352" s="27" t="s">
        <v>26</v>
      </c>
      <c r="E352" s="98" t="s">
        <v>759</v>
      </c>
      <c r="F352" s="98" t="s">
        <v>758</v>
      </c>
      <c r="I352" s="34"/>
      <c r="J352" s="97">
        <f>BK352</f>
        <v>0</v>
      </c>
      <c r="L352" s="32"/>
      <c r="M352" s="31"/>
      <c r="P352" s="30">
        <f>SUM(P353:P371)</f>
        <v>0</v>
      </c>
      <c r="R352" s="30">
        <f>SUM(R353:R371)</f>
        <v>5.5960000000000003E-2</v>
      </c>
      <c r="T352" s="29">
        <f>SUM(T353:T371)</f>
        <v>9.7860000000000003E-2</v>
      </c>
      <c r="AR352" s="27" t="s">
        <v>365</v>
      </c>
      <c r="AT352" s="28" t="s">
        <v>26</v>
      </c>
      <c r="AU352" s="28" t="s">
        <v>2</v>
      </c>
      <c r="AY352" s="27" t="s">
        <v>3</v>
      </c>
      <c r="BK352" s="26">
        <f>SUM(BK353:BK371)</f>
        <v>0</v>
      </c>
    </row>
    <row r="353" spans="2:65" s="2" customFormat="1" ht="16.5" customHeight="1">
      <c r="B353" s="3"/>
      <c r="C353" s="20" t="s">
        <v>152</v>
      </c>
      <c r="D353" s="20" t="s">
        <v>4</v>
      </c>
      <c r="E353" s="19" t="s">
        <v>747</v>
      </c>
      <c r="F353" s="14" t="s">
        <v>746</v>
      </c>
      <c r="G353" s="18" t="s">
        <v>722</v>
      </c>
      <c r="H353" s="17">
        <v>1</v>
      </c>
      <c r="I353" s="16"/>
      <c r="J353" s="15">
        <f>ROUND(I353*H353,2)</f>
        <v>0</v>
      </c>
      <c r="K353" s="14" t="s">
        <v>654</v>
      </c>
      <c r="L353" s="3"/>
      <c r="M353" s="24" t="s">
        <v>6</v>
      </c>
      <c r="N353" s="23" t="s">
        <v>5</v>
      </c>
      <c r="P353" s="22">
        <f>O353*H353</f>
        <v>0</v>
      </c>
      <c r="Q353" s="22">
        <v>0</v>
      </c>
      <c r="R353" s="22">
        <f>Q353*H353</f>
        <v>0</v>
      </c>
      <c r="S353" s="22">
        <v>0</v>
      </c>
      <c r="T353" s="21">
        <f>S353*H353</f>
        <v>0</v>
      </c>
      <c r="AR353" s="6" t="s">
        <v>328</v>
      </c>
      <c r="AT353" s="6" t="s">
        <v>4</v>
      </c>
      <c r="AU353" s="6" t="s">
        <v>365</v>
      </c>
      <c r="AY353" s="7" t="s">
        <v>3</v>
      </c>
      <c r="BE353" s="8">
        <f>IF(N353="základní",J353,0)</f>
        <v>0</v>
      </c>
      <c r="BF353" s="8">
        <f>IF(N353="snížená",J353,0)</f>
        <v>0</v>
      </c>
      <c r="BG353" s="8">
        <f>IF(N353="zákl. přenesená",J353,0)</f>
        <v>0</v>
      </c>
      <c r="BH353" s="8">
        <f>IF(N353="sníž. přenesená",J353,0)</f>
        <v>0</v>
      </c>
      <c r="BI353" s="8">
        <f>IF(N353="nulová",J353,0)</f>
        <v>0</v>
      </c>
      <c r="BJ353" s="7" t="s">
        <v>2</v>
      </c>
      <c r="BK353" s="8">
        <f>ROUND(I353*H353,2)</f>
        <v>0</v>
      </c>
      <c r="BL353" s="7" t="s">
        <v>328</v>
      </c>
      <c r="BM353" s="6" t="s">
        <v>757</v>
      </c>
    </row>
    <row r="354" spans="2:65" s="2" customFormat="1">
      <c r="B354" s="3"/>
      <c r="D354" s="107" t="s">
        <v>651</v>
      </c>
      <c r="F354" s="106" t="s">
        <v>744</v>
      </c>
      <c r="I354" s="94"/>
      <c r="L354" s="3"/>
      <c r="M354" s="100"/>
      <c r="T354" s="99"/>
      <c r="AT354" s="7" t="s">
        <v>651</v>
      </c>
      <c r="AU354" s="7" t="s">
        <v>365</v>
      </c>
    </row>
    <row r="355" spans="2:65" s="2" customFormat="1" ht="37.9" customHeight="1">
      <c r="B355" s="3"/>
      <c r="C355" s="125" t="s">
        <v>756</v>
      </c>
      <c r="D355" s="125" t="s">
        <v>750</v>
      </c>
      <c r="E355" s="124" t="s">
        <v>755</v>
      </c>
      <c r="F355" s="119" t="s">
        <v>754</v>
      </c>
      <c r="G355" s="123" t="s">
        <v>722</v>
      </c>
      <c r="H355" s="122">
        <v>1</v>
      </c>
      <c r="I355" s="121"/>
      <c r="J355" s="120">
        <f>ROUND(I355*H355,2)</f>
        <v>0</v>
      </c>
      <c r="K355" s="119" t="s">
        <v>7</v>
      </c>
      <c r="L355" s="118"/>
      <c r="M355" s="117" t="s">
        <v>6</v>
      </c>
      <c r="N355" s="116" t="s">
        <v>5</v>
      </c>
      <c r="P355" s="22">
        <f>O355*H355</f>
        <v>0</v>
      </c>
      <c r="Q355" s="22">
        <v>5.1799999999999999E-2</v>
      </c>
      <c r="R355" s="22">
        <f>Q355*H355</f>
        <v>5.1799999999999999E-2</v>
      </c>
      <c r="S355" s="22">
        <v>0</v>
      </c>
      <c r="T355" s="21">
        <f>S355*H355</f>
        <v>0</v>
      </c>
      <c r="AR355" s="6" t="s">
        <v>283</v>
      </c>
      <c r="AT355" s="6" t="s">
        <v>750</v>
      </c>
      <c r="AU355" s="6" t="s">
        <v>365</v>
      </c>
      <c r="AY355" s="7" t="s">
        <v>3</v>
      </c>
      <c r="BE355" s="8">
        <f>IF(N355="základní",J355,0)</f>
        <v>0</v>
      </c>
      <c r="BF355" s="8">
        <f>IF(N355="snížená",J355,0)</f>
        <v>0</v>
      </c>
      <c r="BG355" s="8">
        <f>IF(N355="zákl. přenesená",J355,0)</f>
        <v>0</v>
      </c>
      <c r="BH355" s="8">
        <f>IF(N355="sníž. přenesená",J355,0)</f>
        <v>0</v>
      </c>
      <c r="BI355" s="8">
        <f>IF(N355="nulová",J355,0)</f>
        <v>0</v>
      </c>
      <c r="BJ355" s="7" t="s">
        <v>2</v>
      </c>
      <c r="BK355" s="8">
        <f>ROUND(I355*H355,2)</f>
        <v>0</v>
      </c>
      <c r="BL355" s="7" t="s">
        <v>328</v>
      </c>
      <c r="BM355" s="6" t="s">
        <v>753</v>
      </c>
    </row>
    <row r="356" spans="2:65" s="2" customFormat="1" ht="16.5" customHeight="1">
      <c r="B356" s="3"/>
      <c r="C356" s="125" t="s">
        <v>148</v>
      </c>
      <c r="D356" s="125" t="s">
        <v>750</v>
      </c>
      <c r="E356" s="124" t="s">
        <v>752</v>
      </c>
      <c r="F356" s="119" t="s">
        <v>751</v>
      </c>
      <c r="G356" s="123" t="s">
        <v>722</v>
      </c>
      <c r="H356" s="122">
        <v>2</v>
      </c>
      <c r="I356" s="121"/>
      <c r="J356" s="120">
        <f>ROUND(I356*H356,2)</f>
        <v>0</v>
      </c>
      <c r="K356" s="119" t="s">
        <v>7</v>
      </c>
      <c r="L356" s="118"/>
      <c r="M356" s="117" t="s">
        <v>6</v>
      </c>
      <c r="N356" s="116" t="s">
        <v>5</v>
      </c>
      <c r="P356" s="22">
        <f>O356*H356</f>
        <v>0</v>
      </c>
      <c r="Q356" s="22">
        <v>2E-3</v>
      </c>
      <c r="R356" s="22">
        <f>Q356*H356</f>
        <v>4.0000000000000001E-3</v>
      </c>
      <c r="S356" s="22">
        <v>0</v>
      </c>
      <c r="T356" s="21">
        <f>S356*H356</f>
        <v>0</v>
      </c>
      <c r="AR356" s="6" t="s">
        <v>283</v>
      </c>
      <c r="AT356" s="6" t="s">
        <v>750</v>
      </c>
      <c r="AU356" s="6" t="s">
        <v>365</v>
      </c>
      <c r="AY356" s="7" t="s">
        <v>3</v>
      </c>
      <c r="BE356" s="8">
        <f>IF(N356="základní",J356,0)</f>
        <v>0</v>
      </c>
      <c r="BF356" s="8">
        <f>IF(N356="snížená",J356,0)</f>
        <v>0</v>
      </c>
      <c r="BG356" s="8">
        <f>IF(N356="zákl. přenesená",J356,0)</f>
        <v>0</v>
      </c>
      <c r="BH356" s="8">
        <f>IF(N356="sníž. přenesená",J356,0)</f>
        <v>0</v>
      </c>
      <c r="BI356" s="8">
        <f>IF(N356="nulová",J356,0)</f>
        <v>0</v>
      </c>
      <c r="BJ356" s="7" t="s">
        <v>2</v>
      </c>
      <c r="BK356" s="8">
        <f>ROUND(I356*H356,2)</f>
        <v>0</v>
      </c>
      <c r="BL356" s="7" t="s">
        <v>328</v>
      </c>
      <c r="BM356" s="6" t="s">
        <v>749</v>
      </c>
    </row>
    <row r="357" spans="2:65" s="2" customFormat="1" ht="16.5" customHeight="1">
      <c r="B357" s="3"/>
      <c r="C357" s="20" t="s">
        <v>748</v>
      </c>
      <c r="D357" s="20" t="s">
        <v>4</v>
      </c>
      <c r="E357" s="19" t="s">
        <v>747</v>
      </c>
      <c r="F357" s="14" t="s">
        <v>746</v>
      </c>
      <c r="G357" s="18" t="s">
        <v>722</v>
      </c>
      <c r="H357" s="17">
        <v>2</v>
      </c>
      <c r="I357" s="16"/>
      <c r="J357" s="15">
        <f>ROUND(I357*H357,2)</f>
        <v>0</v>
      </c>
      <c r="K357" s="14" t="s">
        <v>654</v>
      </c>
      <c r="L357" s="3"/>
      <c r="M357" s="24" t="s">
        <v>6</v>
      </c>
      <c r="N357" s="23" t="s">
        <v>5</v>
      </c>
      <c r="P357" s="22">
        <f>O357*H357</f>
        <v>0</v>
      </c>
      <c r="Q357" s="22">
        <v>0</v>
      </c>
      <c r="R357" s="22">
        <f>Q357*H357</f>
        <v>0</v>
      </c>
      <c r="S357" s="22">
        <v>0</v>
      </c>
      <c r="T357" s="21">
        <f>S357*H357</f>
        <v>0</v>
      </c>
      <c r="AR357" s="6" t="s">
        <v>328</v>
      </c>
      <c r="AT357" s="6" t="s">
        <v>4</v>
      </c>
      <c r="AU357" s="6" t="s">
        <v>365</v>
      </c>
      <c r="AY357" s="7" t="s">
        <v>3</v>
      </c>
      <c r="BE357" s="8">
        <f>IF(N357="základní",J357,0)</f>
        <v>0</v>
      </c>
      <c r="BF357" s="8">
        <f>IF(N357="snížená",J357,0)</f>
        <v>0</v>
      </c>
      <c r="BG357" s="8">
        <f>IF(N357="zákl. přenesená",J357,0)</f>
        <v>0</v>
      </c>
      <c r="BH357" s="8">
        <f>IF(N357="sníž. přenesená",J357,0)</f>
        <v>0</v>
      </c>
      <c r="BI357" s="8">
        <f>IF(N357="nulová",J357,0)</f>
        <v>0</v>
      </c>
      <c r="BJ357" s="7" t="s">
        <v>2</v>
      </c>
      <c r="BK357" s="8">
        <f>ROUND(I357*H357,2)</f>
        <v>0</v>
      </c>
      <c r="BL357" s="7" t="s">
        <v>328</v>
      </c>
      <c r="BM357" s="6" t="s">
        <v>745</v>
      </c>
    </row>
    <row r="358" spans="2:65" s="2" customFormat="1">
      <c r="B358" s="3"/>
      <c r="D358" s="107" t="s">
        <v>651</v>
      </c>
      <c r="F358" s="106" t="s">
        <v>744</v>
      </c>
      <c r="I358" s="94"/>
      <c r="L358" s="3"/>
      <c r="M358" s="100"/>
      <c r="T358" s="99"/>
      <c r="AT358" s="7" t="s">
        <v>651</v>
      </c>
      <c r="AU358" s="7" t="s">
        <v>365</v>
      </c>
    </row>
    <row r="359" spans="2:65" s="108" customFormat="1">
      <c r="B359" s="112"/>
      <c r="D359" s="96" t="s">
        <v>704</v>
      </c>
      <c r="E359" s="109" t="s">
        <v>6</v>
      </c>
      <c r="F359" s="115" t="s">
        <v>743</v>
      </c>
      <c r="H359" s="114">
        <v>2</v>
      </c>
      <c r="I359" s="113"/>
      <c r="L359" s="112"/>
      <c r="M359" s="111"/>
      <c r="T359" s="110"/>
      <c r="AT359" s="109" t="s">
        <v>704</v>
      </c>
      <c r="AU359" s="109" t="s">
        <v>365</v>
      </c>
      <c r="AV359" s="108" t="s">
        <v>365</v>
      </c>
      <c r="AW359" s="108" t="s">
        <v>703</v>
      </c>
      <c r="AX359" s="108" t="s">
        <v>2</v>
      </c>
      <c r="AY359" s="109" t="s">
        <v>3</v>
      </c>
    </row>
    <row r="360" spans="2:65" s="2" customFormat="1" ht="24.2" customHeight="1">
      <c r="B360" s="3"/>
      <c r="C360" s="20" t="s">
        <v>145</v>
      </c>
      <c r="D360" s="20" t="s">
        <v>4</v>
      </c>
      <c r="E360" s="19" t="s">
        <v>742</v>
      </c>
      <c r="F360" s="14" t="s">
        <v>741</v>
      </c>
      <c r="G360" s="18" t="s">
        <v>735</v>
      </c>
      <c r="H360" s="17">
        <v>5.6000000000000001E-2</v>
      </c>
      <c r="I360" s="16"/>
      <c r="J360" s="15">
        <f>ROUND(I360*H360,2)</f>
        <v>0</v>
      </c>
      <c r="K360" s="14" t="s">
        <v>654</v>
      </c>
      <c r="L360" s="3"/>
      <c r="M360" s="24" t="s">
        <v>6</v>
      </c>
      <c r="N360" s="23" t="s">
        <v>5</v>
      </c>
      <c r="P360" s="22">
        <f>O360*H360</f>
        <v>0</v>
      </c>
      <c r="Q360" s="22">
        <v>0</v>
      </c>
      <c r="R360" s="22">
        <f>Q360*H360</f>
        <v>0</v>
      </c>
      <c r="S360" s="22">
        <v>0</v>
      </c>
      <c r="T360" s="21">
        <f>S360*H360</f>
        <v>0</v>
      </c>
      <c r="AR360" s="6" t="s">
        <v>328</v>
      </c>
      <c r="AT360" s="6" t="s">
        <v>4</v>
      </c>
      <c r="AU360" s="6" t="s">
        <v>365</v>
      </c>
      <c r="AY360" s="7" t="s">
        <v>3</v>
      </c>
      <c r="BE360" s="8">
        <f>IF(N360="základní",J360,0)</f>
        <v>0</v>
      </c>
      <c r="BF360" s="8">
        <f>IF(N360="snížená",J360,0)</f>
        <v>0</v>
      </c>
      <c r="BG360" s="8">
        <f>IF(N360="zákl. přenesená",J360,0)</f>
        <v>0</v>
      </c>
      <c r="BH360" s="8">
        <f>IF(N360="sníž. přenesená",J360,0)</f>
        <v>0</v>
      </c>
      <c r="BI360" s="8">
        <f>IF(N360="nulová",J360,0)</f>
        <v>0</v>
      </c>
      <c r="BJ360" s="7" t="s">
        <v>2</v>
      </c>
      <c r="BK360" s="8">
        <f>ROUND(I360*H360,2)</f>
        <v>0</v>
      </c>
      <c r="BL360" s="7" t="s">
        <v>328</v>
      </c>
      <c r="BM360" s="6" t="s">
        <v>740</v>
      </c>
    </row>
    <row r="361" spans="2:65" s="2" customFormat="1">
      <c r="B361" s="3"/>
      <c r="D361" s="107" t="s">
        <v>651</v>
      </c>
      <c r="F361" s="106" t="s">
        <v>739</v>
      </c>
      <c r="I361" s="94"/>
      <c r="L361" s="3"/>
      <c r="M361" s="100"/>
      <c r="T361" s="99"/>
      <c r="AT361" s="7" t="s">
        <v>651</v>
      </c>
      <c r="AU361" s="7" t="s">
        <v>365</v>
      </c>
    </row>
    <row r="362" spans="2:65" s="2" customFormat="1" ht="78">
      <c r="B362" s="3"/>
      <c r="D362" s="96" t="s">
        <v>731</v>
      </c>
      <c r="F362" s="95" t="s">
        <v>732</v>
      </c>
      <c r="I362" s="94"/>
      <c r="L362" s="3"/>
      <c r="M362" s="100"/>
      <c r="T362" s="99"/>
      <c r="AT362" s="7" t="s">
        <v>731</v>
      </c>
      <c r="AU362" s="7" t="s">
        <v>365</v>
      </c>
    </row>
    <row r="363" spans="2:65" s="2" customFormat="1" ht="24.2" customHeight="1">
      <c r="B363" s="3"/>
      <c r="C363" s="20" t="s">
        <v>738</v>
      </c>
      <c r="D363" s="20" t="s">
        <v>4</v>
      </c>
      <c r="E363" s="19" t="s">
        <v>737</v>
      </c>
      <c r="F363" s="14" t="s">
        <v>736</v>
      </c>
      <c r="G363" s="18" t="s">
        <v>735</v>
      </c>
      <c r="H363" s="17">
        <v>5.6000000000000001E-2</v>
      </c>
      <c r="I363" s="16"/>
      <c r="J363" s="15">
        <f>ROUND(I363*H363,2)</f>
        <v>0</v>
      </c>
      <c r="K363" s="14" t="s">
        <v>654</v>
      </c>
      <c r="L363" s="3"/>
      <c r="M363" s="24" t="s">
        <v>6</v>
      </c>
      <c r="N363" s="23" t="s">
        <v>5</v>
      </c>
      <c r="P363" s="22">
        <f>O363*H363</f>
        <v>0</v>
      </c>
      <c r="Q363" s="22">
        <v>0</v>
      </c>
      <c r="R363" s="22">
        <f>Q363*H363</f>
        <v>0</v>
      </c>
      <c r="S363" s="22">
        <v>0</v>
      </c>
      <c r="T363" s="21">
        <f>S363*H363</f>
        <v>0</v>
      </c>
      <c r="AR363" s="6" t="s">
        <v>328</v>
      </c>
      <c r="AT363" s="6" t="s">
        <v>4</v>
      </c>
      <c r="AU363" s="6" t="s">
        <v>365</v>
      </c>
      <c r="AY363" s="7" t="s">
        <v>3</v>
      </c>
      <c r="BE363" s="8">
        <f>IF(N363="základní",J363,0)</f>
        <v>0</v>
      </c>
      <c r="BF363" s="8">
        <f>IF(N363="snížená",J363,0)</f>
        <v>0</v>
      </c>
      <c r="BG363" s="8">
        <f>IF(N363="zákl. přenesená",J363,0)</f>
        <v>0</v>
      </c>
      <c r="BH363" s="8">
        <f>IF(N363="sníž. přenesená",J363,0)</f>
        <v>0</v>
      </c>
      <c r="BI363" s="8">
        <f>IF(N363="nulová",J363,0)</f>
        <v>0</v>
      </c>
      <c r="BJ363" s="7" t="s">
        <v>2</v>
      </c>
      <c r="BK363" s="8">
        <f>ROUND(I363*H363,2)</f>
        <v>0</v>
      </c>
      <c r="BL363" s="7" t="s">
        <v>328</v>
      </c>
      <c r="BM363" s="6" t="s">
        <v>734</v>
      </c>
    </row>
    <row r="364" spans="2:65" s="2" customFormat="1">
      <c r="B364" s="3"/>
      <c r="D364" s="107" t="s">
        <v>651</v>
      </c>
      <c r="F364" s="106" t="s">
        <v>733</v>
      </c>
      <c r="I364" s="94"/>
      <c r="L364" s="3"/>
      <c r="M364" s="100"/>
      <c r="T364" s="99"/>
      <c r="AT364" s="7" t="s">
        <v>651</v>
      </c>
      <c r="AU364" s="7" t="s">
        <v>365</v>
      </c>
    </row>
    <row r="365" spans="2:65" s="2" customFormat="1" ht="78">
      <c r="B365" s="3"/>
      <c r="D365" s="96" t="s">
        <v>731</v>
      </c>
      <c r="F365" s="95" t="s">
        <v>732</v>
      </c>
      <c r="I365" s="94"/>
      <c r="L365" s="3"/>
      <c r="M365" s="100"/>
      <c r="T365" s="99"/>
      <c r="AT365" s="7" t="s">
        <v>731</v>
      </c>
      <c r="AU365" s="7" t="s">
        <v>365</v>
      </c>
    </row>
    <row r="366" spans="2:65" s="2" customFormat="1" ht="16.5" customHeight="1">
      <c r="B366" s="3"/>
      <c r="C366" s="20" t="s">
        <v>142</v>
      </c>
      <c r="D366" s="20" t="s">
        <v>4</v>
      </c>
      <c r="E366" s="19" t="s">
        <v>730</v>
      </c>
      <c r="F366" s="14" t="s">
        <v>729</v>
      </c>
      <c r="G366" s="18" t="s">
        <v>722</v>
      </c>
      <c r="H366" s="17">
        <v>2</v>
      </c>
      <c r="I366" s="16"/>
      <c r="J366" s="15">
        <f>ROUND(I366*H366,2)</f>
        <v>0</v>
      </c>
      <c r="K366" s="14" t="s">
        <v>654</v>
      </c>
      <c r="L366" s="3"/>
      <c r="M366" s="24" t="s">
        <v>6</v>
      </c>
      <c r="N366" s="23" t="s">
        <v>5</v>
      </c>
      <c r="P366" s="22">
        <f>O366*H366</f>
        <v>0</v>
      </c>
      <c r="Q366" s="22">
        <v>8.0000000000000007E-5</v>
      </c>
      <c r="R366" s="22">
        <f>Q366*H366</f>
        <v>1.6000000000000001E-4</v>
      </c>
      <c r="S366" s="22">
        <v>2.4930000000000001E-2</v>
      </c>
      <c r="T366" s="21">
        <f>S366*H366</f>
        <v>4.9860000000000002E-2</v>
      </c>
      <c r="AR366" s="6" t="s">
        <v>328</v>
      </c>
      <c r="AT366" s="6" t="s">
        <v>4</v>
      </c>
      <c r="AU366" s="6" t="s">
        <v>365</v>
      </c>
      <c r="AY366" s="7" t="s">
        <v>3</v>
      </c>
      <c r="BE366" s="8">
        <f>IF(N366="základní",J366,0)</f>
        <v>0</v>
      </c>
      <c r="BF366" s="8">
        <f>IF(N366="snížená",J366,0)</f>
        <v>0</v>
      </c>
      <c r="BG366" s="8">
        <f>IF(N366="zákl. přenesená",J366,0)</f>
        <v>0</v>
      </c>
      <c r="BH366" s="8">
        <f>IF(N366="sníž. přenesená",J366,0)</f>
        <v>0</v>
      </c>
      <c r="BI366" s="8">
        <f>IF(N366="nulová",J366,0)</f>
        <v>0</v>
      </c>
      <c r="BJ366" s="7" t="s">
        <v>2</v>
      </c>
      <c r="BK366" s="8">
        <f>ROUND(I366*H366,2)</f>
        <v>0</v>
      </c>
      <c r="BL366" s="7" t="s">
        <v>328</v>
      </c>
      <c r="BM366" s="6" t="s">
        <v>728</v>
      </c>
    </row>
    <row r="367" spans="2:65" s="2" customFormat="1">
      <c r="B367" s="3"/>
      <c r="D367" s="107" t="s">
        <v>651</v>
      </c>
      <c r="F367" s="106" t="s">
        <v>727</v>
      </c>
      <c r="I367" s="94"/>
      <c r="L367" s="3"/>
      <c r="M367" s="100"/>
      <c r="T367" s="99"/>
      <c r="AT367" s="7" t="s">
        <v>651</v>
      </c>
      <c r="AU367" s="7" t="s">
        <v>365</v>
      </c>
    </row>
    <row r="368" spans="2:65" s="108" customFormat="1">
      <c r="B368" s="112"/>
      <c r="D368" s="96" t="s">
        <v>704</v>
      </c>
      <c r="E368" s="109" t="s">
        <v>6</v>
      </c>
      <c r="F368" s="115" t="s">
        <v>726</v>
      </c>
      <c r="H368" s="114">
        <v>2</v>
      </c>
      <c r="I368" s="113"/>
      <c r="L368" s="112"/>
      <c r="M368" s="111"/>
      <c r="T368" s="110"/>
      <c r="AT368" s="109" t="s">
        <v>704</v>
      </c>
      <c r="AU368" s="109" t="s">
        <v>365</v>
      </c>
      <c r="AV368" s="108" t="s">
        <v>365</v>
      </c>
      <c r="AW368" s="108" t="s">
        <v>703</v>
      </c>
      <c r="AX368" s="108" t="s">
        <v>2</v>
      </c>
      <c r="AY368" s="109" t="s">
        <v>3</v>
      </c>
    </row>
    <row r="369" spans="2:65" s="2" customFormat="1" ht="16.5" customHeight="1">
      <c r="B369" s="3"/>
      <c r="C369" s="20" t="s">
        <v>725</v>
      </c>
      <c r="D369" s="20" t="s">
        <v>4</v>
      </c>
      <c r="E369" s="19" t="s">
        <v>724</v>
      </c>
      <c r="F369" s="14" t="s">
        <v>723</v>
      </c>
      <c r="G369" s="18" t="s">
        <v>722</v>
      </c>
      <c r="H369" s="17">
        <v>6</v>
      </c>
      <c r="I369" s="16"/>
      <c r="J369" s="15">
        <f>ROUND(I369*H369,2)</f>
        <v>0</v>
      </c>
      <c r="K369" s="14" t="s">
        <v>7</v>
      </c>
      <c r="L369" s="3"/>
      <c r="M369" s="24" t="s">
        <v>6</v>
      </c>
      <c r="N369" s="23" t="s">
        <v>5</v>
      </c>
      <c r="P369" s="22">
        <f>O369*H369</f>
        <v>0</v>
      </c>
      <c r="Q369" s="22">
        <v>0</v>
      </c>
      <c r="R369" s="22">
        <f>Q369*H369</f>
        <v>0</v>
      </c>
      <c r="S369" s="22">
        <v>8.0000000000000002E-3</v>
      </c>
      <c r="T369" s="21">
        <f>S369*H369</f>
        <v>4.8000000000000001E-2</v>
      </c>
      <c r="AR369" s="6" t="s">
        <v>328</v>
      </c>
      <c r="AT369" s="6" t="s">
        <v>4</v>
      </c>
      <c r="AU369" s="6" t="s">
        <v>365</v>
      </c>
      <c r="AY369" s="7" t="s">
        <v>3</v>
      </c>
      <c r="BE369" s="8">
        <f>IF(N369="základní",J369,0)</f>
        <v>0</v>
      </c>
      <c r="BF369" s="8">
        <f>IF(N369="snížená",J369,0)</f>
        <v>0</v>
      </c>
      <c r="BG369" s="8">
        <f>IF(N369="zákl. přenesená",J369,0)</f>
        <v>0</v>
      </c>
      <c r="BH369" s="8">
        <f>IF(N369="sníž. přenesená",J369,0)</f>
        <v>0</v>
      </c>
      <c r="BI369" s="8">
        <f>IF(N369="nulová",J369,0)</f>
        <v>0</v>
      </c>
      <c r="BJ369" s="7" t="s">
        <v>2</v>
      </c>
      <c r="BK369" s="8">
        <f>ROUND(I369*H369,2)</f>
        <v>0</v>
      </c>
      <c r="BL369" s="7" t="s">
        <v>328</v>
      </c>
      <c r="BM369" s="6" t="s">
        <v>721</v>
      </c>
    </row>
    <row r="370" spans="2:65" s="2" customFormat="1" ht="16.5" customHeight="1">
      <c r="B370" s="3"/>
      <c r="C370" s="20" t="s">
        <v>720</v>
      </c>
      <c r="D370" s="20" t="s">
        <v>4</v>
      </c>
      <c r="E370" s="19" t="s">
        <v>719</v>
      </c>
      <c r="F370" s="14" t="s">
        <v>718</v>
      </c>
      <c r="G370" s="18" t="s">
        <v>714</v>
      </c>
      <c r="H370" s="17">
        <v>1</v>
      </c>
      <c r="I370" s="16"/>
      <c r="J370" s="15">
        <f>ROUND(I370*H370,2)</f>
        <v>0</v>
      </c>
      <c r="K370" s="14" t="s">
        <v>7</v>
      </c>
      <c r="L370" s="3"/>
      <c r="M370" s="24" t="s">
        <v>6</v>
      </c>
      <c r="N370" s="23" t="s">
        <v>5</v>
      </c>
      <c r="P370" s="22">
        <f>O370*H370</f>
        <v>0</v>
      </c>
      <c r="Q370" s="22">
        <v>0</v>
      </c>
      <c r="R370" s="22">
        <f>Q370*H370</f>
        <v>0</v>
      </c>
      <c r="S370" s="22">
        <v>0</v>
      </c>
      <c r="T370" s="21">
        <f>S370*H370</f>
        <v>0</v>
      </c>
      <c r="AR370" s="6" t="s">
        <v>328</v>
      </c>
      <c r="AT370" s="6" t="s">
        <v>4</v>
      </c>
      <c r="AU370" s="6" t="s">
        <v>365</v>
      </c>
      <c r="AY370" s="7" t="s">
        <v>3</v>
      </c>
      <c r="BE370" s="8">
        <f>IF(N370="základní",J370,0)</f>
        <v>0</v>
      </c>
      <c r="BF370" s="8">
        <f>IF(N370="snížená",J370,0)</f>
        <v>0</v>
      </c>
      <c r="BG370" s="8">
        <f>IF(N370="zákl. přenesená",J370,0)</f>
        <v>0</v>
      </c>
      <c r="BH370" s="8">
        <f>IF(N370="sníž. přenesená",J370,0)</f>
        <v>0</v>
      </c>
      <c r="BI370" s="8">
        <f>IF(N370="nulová",J370,0)</f>
        <v>0</v>
      </c>
      <c r="BJ370" s="7" t="s">
        <v>2</v>
      </c>
      <c r="BK370" s="8">
        <f>ROUND(I370*H370,2)</f>
        <v>0</v>
      </c>
      <c r="BL370" s="7" t="s">
        <v>328</v>
      </c>
      <c r="BM370" s="6" t="s">
        <v>717</v>
      </c>
    </row>
    <row r="371" spans="2:65" s="2" customFormat="1" ht="24.2" customHeight="1">
      <c r="B371" s="3"/>
      <c r="C371" s="20" t="s">
        <v>134</v>
      </c>
      <c r="D371" s="20" t="s">
        <v>4</v>
      </c>
      <c r="E371" s="19" t="s">
        <v>716</v>
      </c>
      <c r="F371" s="14" t="s">
        <v>715</v>
      </c>
      <c r="G371" s="18" t="s">
        <v>714</v>
      </c>
      <c r="H371" s="17">
        <v>1</v>
      </c>
      <c r="I371" s="16"/>
      <c r="J371" s="15">
        <f>ROUND(I371*H371,2)</f>
        <v>0</v>
      </c>
      <c r="K371" s="14" t="s">
        <v>7</v>
      </c>
      <c r="L371" s="3"/>
      <c r="M371" s="24" t="s">
        <v>6</v>
      </c>
      <c r="N371" s="23" t="s">
        <v>5</v>
      </c>
      <c r="P371" s="22">
        <f>O371*H371</f>
        <v>0</v>
      </c>
      <c r="Q371" s="22">
        <v>0</v>
      </c>
      <c r="R371" s="22">
        <f>Q371*H371</f>
        <v>0</v>
      </c>
      <c r="S371" s="22">
        <v>0</v>
      </c>
      <c r="T371" s="21">
        <f>S371*H371</f>
        <v>0</v>
      </c>
      <c r="AR371" s="6" t="s">
        <v>328</v>
      </c>
      <c r="AT371" s="6" t="s">
        <v>4</v>
      </c>
      <c r="AU371" s="6" t="s">
        <v>365</v>
      </c>
      <c r="AY371" s="7" t="s">
        <v>3</v>
      </c>
      <c r="BE371" s="8">
        <f>IF(N371="základní",J371,0)</f>
        <v>0</v>
      </c>
      <c r="BF371" s="8">
        <f>IF(N371="snížená",J371,0)</f>
        <v>0</v>
      </c>
      <c r="BG371" s="8">
        <f>IF(N371="zákl. přenesená",J371,0)</f>
        <v>0</v>
      </c>
      <c r="BH371" s="8">
        <f>IF(N371="sníž. přenesená",J371,0)</f>
        <v>0</v>
      </c>
      <c r="BI371" s="8">
        <f>IF(N371="nulová",J371,0)</f>
        <v>0</v>
      </c>
      <c r="BJ371" s="7" t="s">
        <v>2</v>
      </c>
      <c r="BK371" s="8">
        <f>ROUND(I371*H371,2)</f>
        <v>0</v>
      </c>
      <c r="BL371" s="7" t="s">
        <v>328</v>
      </c>
      <c r="BM371" s="6" t="s">
        <v>713</v>
      </c>
    </row>
    <row r="372" spans="2:65" s="25" customFormat="1" ht="22.9" customHeight="1">
      <c r="B372" s="32"/>
      <c r="D372" s="27" t="s">
        <v>26</v>
      </c>
      <c r="E372" s="98" t="s">
        <v>712</v>
      </c>
      <c r="F372" s="98" t="s">
        <v>711</v>
      </c>
      <c r="I372" s="34"/>
      <c r="J372" s="97">
        <f>BK372</f>
        <v>0</v>
      </c>
      <c r="L372" s="32"/>
      <c r="M372" s="31"/>
      <c r="P372" s="30">
        <f>SUM(P373:P397)</f>
        <v>0</v>
      </c>
      <c r="R372" s="30">
        <f>SUM(R373:R397)</f>
        <v>8.9499999999999996E-3</v>
      </c>
      <c r="T372" s="29">
        <f>SUM(T373:T397)</f>
        <v>0</v>
      </c>
      <c r="AR372" s="27" t="s">
        <v>365</v>
      </c>
      <c r="AT372" s="28" t="s">
        <v>26</v>
      </c>
      <c r="AU372" s="28" t="s">
        <v>2</v>
      </c>
      <c r="AY372" s="27" t="s">
        <v>3</v>
      </c>
      <c r="BK372" s="26">
        <f>SUM(BK373:BK397)</f>
        <v>0</v>
      </c>
    </row>
    <row r="373" spans="2:65" s="2" customFormat="1" ht="16.5" customHeight="1">
      <c r="B373" s="3"/>
      <c r="C373" s="20" t="s">
        <v>710</v>
      </c>
      <c r="D373" s="20" t="s">
        <v>4</v>
      </c>
      <c r="E373" s="19" t="s">
        <v>709</v>
      </c>
      <c r="F373" s="14" t="s">
        <v>708</v>
      </c>
      <c r="G373" s="18" t="s">
        <v>691</v>
      </c>
      <c r="H373" s="17">
        <v>2</v>
      </c>
      <c r="I373" s="16"/>
      <c r="J373" s="15">
        <f>ROUND(I373*H373,2)</f>
        <v>0</v>
      </c>
      <c r="K373" s="14" t="s">
        <v>654</v>
      </c>
      <c r="L373" s="3"/>
      <c r="M373" s="24" t="s">
        <v>6</v>
      </c>
      <c r="N373" s="23" t="s">
        <v>5</v>
      </c>
      <c r="P373" s="22">
        <f>O373*H373</f>
        <v>0</v>
      </c>
      <c r="Q373" s="22">
        <v>6.0000000000000002E-5</v>
      </c>
      <c r="R373" s="22">
        <f>Q373*H373</f>
        <v>1.2E-4</v>
      </c>
      <c r="S373" s="22">
        <v>0</v>
      </c>
      <c r="T373" s="21">
        <f>S373*H373</f>
        <v>0</v>
      </c>
      <c r="AR373" s="6" t="s">
        <v>328</v>
      </c>
      <c r="AT373" s="6" t="s">
        <v>4</v>
      </c>
      <c r="AU373" s="6" t="s">
        <v>365</v>
      </c>
      <c r="AY373" s="7" t="s">
        <v>3</v>
      </c>
      <c r="BE373" s="8">
        <f>IF(N373="základní",J373,0)</f>
        <v>0</v>
      </c>
      <c r="BF373" s="8">
        <f>IF(N373="snížená",J373,0)</f>
        <v>0</v>
      </c>
      <c r="BG373" s="8">
        <f>IF(N373="zákl. přenesená",J373,0)</f>
        <v>0</v>
      </c>
      <c r="BH373" s="8">
        <f>IF(N373="sníž. přenesená",J373,0)</f>
        <v>0</v>
      </c>
      <c r="BI373" s="8">
        <f>IF(N373="nulová",J373,0)</f>
        <v>0</v>
      </c>
      <c r="BJ373" s="7" t="s">
        <v>2</v>
      </c>
      <c r="BK373" s="8">
        <f>ROUND(I373*H373,2)</f>
        <v>0</v>
      </c>
      <c r="BL373" s="7" t="s">
        <v>328</v>
      </c>
      <c r="BM373" s="6" t="s">
        <v>707</v>
      </c>
    </row>
    <row r="374" spans="2:65" s="2" customFormat="1">
      <c r="B374" s="3"/>
      <c r="D374" s="107" t="s">
        <v>651</v>
      </c>
      <c r="F374" s="106" t="s">
        <v>706</v>
      </c>
      <c r="I374" s="94"/>
      <c r="L374" s="3"/>
      <c r="M374" s="100"/>
      <c r="T374" s="99"/>
      <c r="AT374" s="7" t="s">
        <v>651</v>
      </c>
      <c r="AU374" s="7" t="s">
        <v>365</v>
      </c>
    </row>
    <row r="375" spans="2:65" s="108" customFormat="1">
      <c r="B375" s="112"/>
      <c r="D375" s="96" t="s">
        <v>704</v>
      </c>
      <c r="E375" s="109" t="s">
        <v>6</v>
      </c>
      <c r="F375" s="115" t="s">
        <v>705</v>
      </c>
      <c r="H375" s="114">
        <v>2</v>
      </c>
      <c r="I375" s="113"/>
      <c r="L375" s="112"/>
      <c r="M375" s="111"/>
      <c r="T375" s="110"/>
      <c r="AT375" s="109" t="s">
        <v>704</v>
      </c>
      <c r="AU375" s="109" t="s">
        <v>365</v>
      </c>
      <c r="AV375" s="108" t="s">
        <v>365</v>
      </c>
      <c r="AW375" s="108" t="s">
        <v>703</v>
      </c>
      <c r="AX375" s="108" t="s">
        <v>2</v>
      </c>
      <c r="AY375" s="109" t="s">
        <v>3</v>
      </c>
    </row>
    <row r="376" spans="2:65" s="2" customFormat="1" ht="16.5" customHeight="1">
      <c r="B376" s="3"/>
      <c r="C376" s="20" t="s">
        <v>130</v>
      </c>
      <c r="D376" s="20" t="s">
        <v>4</v>
      </c>
      <c r="E376" s="19" t="s">
        <v>702</v>
      </c>
      <c r="F376" s="14" t="s">
        <v>701</v>
      </c>
      <c r="G376" s="18" t="s">
        <v>691</v>
      </c>
      <c r="H376" s="17">
        <v>2</v>
      </c>
      <c r="I376" s="16"/>
      <c r="J376" s="15">
        <f>ROUND(I376*H376,2)</f>
        <v>0</v>
      </c>
      <c r="K376" s="14" t="s">
        <v>654</v>
      </c>
      <c r="L376" s="3"/>
      <c r="M376" s="24" t="s">
        <v>6</v>
      </c>
      <c r="N376" s="23" t="s">
        <v>5</v>
      </c>
      <c r="P376" s="22">
        <f>O376*H376</f>
        <v>0</v>
      </c>
      <c r="Q376" s="22">
        <v>1.3999999999999999E-4</v>
      </c>
      <c r="R376" s="22">
        <f>Q376*H376</f>
        <v>2.7999999999999998E-4</v>
      </c>
      <c r="S376" s="22">
        <v>0</v>
      </c>
      <c r="T376" s="21">
        <f>S376*H376</f>
        <v>0</v>
      </c>
      <c r="AR376" s="6" t="s">
        <v>328</v>
      </c>
      <c r="AT376" s="6" t="s">
        <v>4</v>
      </c>
      <c r="AU376" s="6" t="s">
        <v>365</v>
      </c>
      <c r="AY376" s="7" t="s">
        <v>3</v>
      </c>
      <c r="BE376" s="8">
        <f>IF(N376="základní",J376,0)</f>
        <v>0</v>
      </c>
      <c r="BF376" s="8">
        <f>IF(N376="snížená",J376,0)</f>
        <v>0</v>
      </c>
      <c r="BG376" s="8">
        <f>IF(N376="zákl. přenesená",J376,0)</f>
        <v>0</v>
      </c>
      <c r="BH376" s="8">
        <f>IF(N376="sníž. přenesená",J376,0)</f>
        <v>0</v>
      </c>
      <c r="BI376" s="8">
        <f>IF(N376="nulová",J376,0)</f>
        <v>0</v>
      </c>
      <c r="BJ376" s="7" t="s">
        <v>2</v>
      </c>
      <c r="BK376" s="8">
        <f>ROUND(I376*H376,2)</f>
        <v>0</v>
      </c>
      <c r="BL376" s="7" t="s">
        <v>328</v>
      </c>
      <c r="BM376" s="6" t="s">
        <v>700</v>
      </c>
    </row>
    <row r="377" spans="2:65" s="2" customFormat="1">
      <c r="B377" s="3"/>
      <c r="D377" s="107" t="s">
        <v>651</v>
      </c>
      <c r="F377" s="106" t="s">
        <v>699</v>
      </c>
      <c r="I377" s="94"/>
      <c r="L377" s="3"/>
      <c r="M377" s="100"/>
      <c r="T377" s="99"/>
      <c r="AT377" s="7" t="s">
        <v>651</v>
      </c>
      <c r="AU377" s="7" t="s">
        <v>365</v>
      </c>
    </row>
    <row r="378" spans="2:65" s="2" customFormat="1" ht="16.5" customHeight="1">
      <c r="B378" s="3"/>
      <c r="C378" s="20" t="s">
        <v>698</v>
      </c>
      <c r="D378" s="20" t="s">
        <v>4</v>
      </c>
      <c r="E378" s="19" t="s">
        <v>697</v>
      </c>
      <c r="F378" s="14" t="s">
        <v>696</v>
      </c>
      <c r="G378" s="18" t="s">
        <v>691</v>
      </c>
      <c r="H378" s="17">
        <v>2</v>
      </c>
      <c r="I378" s="16"/>
      <c r="J378" s="15">
        <f>ROUND(I378*H378,2)</f>
        <v>0</v>
      </c>
      <c r="K378" s="14" t="s">
        <v>654</v>
      </c>
      <c r="L378" s="3"/>
      <c r="M378" s="24" t="s">
        <v>6</v>
      </c>
      <c r="N378" s="23" t="s">
        <v>5</v>
      </c>
      <c r="P378" s="22">
        <f>O378*H378</f>
        <v>0</v>
      </c>
      <c r="Q378" s="22">
        <v>1.2E-4</v>
      </c>
      <c r="R378" s="22">
        <f>Q378*H378</f>
        <v>2.4000000000000001E-4</v>
      </c>
      <c r="S378" s="22">
        <v>0</v>
      </c>
      <c r="T378" s="21">
        <f>S378*H378</f>
        <v>0</v>
      </c>
      <c r="AR378" s="6" t="s">
        <v>328</v>
      </c>
      <c r="AT378" s="6" t="s">
        <v>4</v>
      </c>
      <c r="AU378" s="6" t="s">
        <v>365</v>
      </c>
      <c r="AY378" s="7" t="s">
        <v>3</v>
      </c>
      <c r="BE378" s="8">
        <f>IF(N378="základní",J378,0)</f>
        <v>0</v>
      </c>
      <c r="BF378" s="8">
        <f>IF(N378="snížená",J378,0)</f>
        <v>0</v>
      </c>
      <c r="BG378" s="8">
        <f>IF(N378="zákl. přenesená",J378,0)</f>
        <v>0</v>
      </c>
      <c r="BH378" s="8">
        <f>IF(N378="sníž. přenesená",J378,0)</f>
        <v>0</v>
      </c>
      <c r="BI378" s="8">
        <f>IF(N378="nulová",J378,0)</f>
        <v>0</v>
      </c>
      <c r="BJ378" s="7" t="s">
        <v>2</v>
      </c>
      <c r="BK378" s="8">
        <f>ROUND(I378*H378,2)</f>
        <v>0</v>
      </c>
      <c r="BL378" s="7" t="s">
        <v>328</v>
      </c>
      <c r="BM378" s="6" t="s">
        <v>695</v>
      </c>
    </row>
    <row r="379" spans="2:65" s="2" customFormat="1">
      <c r="B379" s="3"/>
      <c r="D379" s="107" t="s">
        <v>651</v>
      </c>
      <c r="F379" s="106" t="s">
        <v>694</v>
      </c>
      <c r="I379" s="94"/>
      <c r="L379" s="3"/>
      <c r="M379" s="100"/>
      <c r="T379" s="99"/>
      <c r="AT379" s="7" t="s">
        <v>651</v>
      </c>
      <c r="AU379" s="7" t="s">
        <v>365</v>
      </c>
    </row>
    <row r="380" spans="2:65" s="2" customFormat="1" ht="16.5" customHeight="1">
      <c r="B380" s="3"/>
      <c r="C380" s="20" t="s">
        <v>126</v>
      </c>
      <c r="D380" s="20" t="s">
        <v>4</v>
      </c>
      <c r="E380" s="19" t="s">
        <v>693</v>
      </c>
      <c r="F380" s="14" t="s">
        <v>692</v>
      </c>
      <c r="G380" s="18" t="s">
        <v>691</v>
      </c>
      <c r="H380" s="17">
        <v>2</v>
      </c>
      <c r="I380" s="16"/>
      <c r="J380" s="15">
        <f>ROUND(I380*H380,2)</f>
        <v>0</v>
      </c>
      <c r="K380" s="14" t="s">
        <v>654</v>
      </c>
      <c r="L380" s="3"/>
      <c r="M380" s="24" t="s">
        <v>6</v>
      </c>
      <c r="N380" s="23" t="s">
        <v>5</v>
      </c>
      <c r="P380" s="22">
        <f>O380*H380</f>
        <v>0</v>
      </c>
      <c r="Q380" s="22">
        <v>1.2E-4</v>
      </c>
      <c r="R380" s="22">
        <f>Q380*H380</f>
        <v>2.4000000000000001E-4</v>
      </c>
      <c r="S380" s="22">
        <v>0</v>
      </c>
      <c r="T380" s="21">
        <f>S380*H380</f>
        <v>0</v>
      </c>
      <c r="AR380" s="6" t="s">
        <v>328</v>
      </c>
      <c r="AT380" s="6" t="s">
        <v>4</v>
      </c>
      <c r="AU380" s="6" t="s">
        <v>365</v>
      </c>
      <c r="AY380" s="7" t="s">
        <v>3</v>
      </c>
      <c r="BE380" s="8">
        <f>IF(N380="základní",J380,0)</f>
        <v>0</v>
      </c>
      <c r="BF380" s="8">
        <f>IF(N380="snížená",J380,0)</f>
        <v>0</v>
      </c>
      <c r="BG380" s="8">
        <f>IF(N380="zákl. přenesená",J380,0)</f>
        <v>0</v>
      </c>
      <c r="BH380" s="8">
        <f>IF(N380="sníž. přenesená",J380,0)</f>
        <v>0</v>
      </c>
      <c r="BI380" s="8">
        <f>IF(N380="nulová",J380,0)</f>
        <v>0</v>
      </c>
      <c r="BJ380" s="7" t="s">
        <v>2</v>
      </c>
      <c r="BK380" s="8">
        <f>ROUND(I380*H380,2)</f>
        <v>0</v>
      </c>
      <c r="BL380" s="7" t="s">
        <v>328</v>
      </c>
      <c r="BM380" s="6" t="s">
        <v>690</v>
      </c>
    </row>
    <row r="381" spans="2:65" s="2" customFormat="1">
      <c r="B381" s="3"/>
      <c r="D381" s="107" t="s">
        <v>651</v>
      </c>
      <c r="F381" s="106" t="s">
        <v>689</v>
      </c>
      <c r="I381" s="94"/>
      <c r="L381" s="3"/>
      <c r="M381" s="100"/>
      <c r="T381" s="99"/>
      <c r="AT381" s="7" t="s">
        <v>651</v>
      </c>
      <c r="AU381" s="7" t="s">
        <v>365</v>
      </c>
    </row>
    <row r="382" spans="2:65" s="2" customFormat="1" ht="24.2" customHeight="1">
      <c r="B382" s="3"/>
      <c r="C382" s="20" t="s">
        <v>688</v>
      </c>
      <c r="D382" s="20" t="s">
        <v>4</v>
      </c>
      <c r="E382" s="19" t="s">
        <v>687</v>
      </c>
      <c r="F382" s="14" t="s">
        <v>686</v>
      </c>
      <c r="G382" s="18" t="s">
        <v>21</v>
      </c>
      <c r="H382" s="17">
        <v>99</v>
      </c>
      <c r="I382" s="16"/>
      <c r="J382" s="15">
        <f>ROUND(I382*H382,2)</f>
        <v>0</v>
      </c>
      <c r="K382" s="14" t="s">
        <v>654</v>
      </c>
      <c r="L382" s="3"/>
      <c r="M382" s="24" t="s">
        <v>6</v>
      </c>
      <c r="N382" s="23" t="s">
        <v>5</v>
      </c>
      <c r="P382" s="22">
        <f>O382*H382</f>
        <v>0</v>
      </c>
      <c r="Q382" s="22">
        <v>2.0000000000000002E-5</v>
      </c>
      <c r="R382" s="22">
        <f>Q382*H382</f>
        <v>1.98E-3</v>
      </c>
      <c r="S382" s="22">
        <v>0</v>
      </c>
      <c r="T382" s="21">
        <f>S382*H382</f>
        <v>0</v>
      </c>
      <c r="AR382" s="6" t="s">
        <v>328</v>
      </c>
      <c r="AT382" s="6" t="s">
        <v>4</v>
      </c>
      <c r="AU382" s="6" t="s">
        <v>365</v>
      </c>
      <c r="AY382" s="7" t="s">
        <v>3</v>
      </c>
      <c r="BE382" s="8">
        <f>IF(N382="základní",J382,0)</f>
        <v>0</v>
      </c>
      <c r="BF382" s="8">
        <f>IF(N382="snížená",J382,0)</f>
        <v>0</v>
      </c>
      <c r="BG382" s="8">
        <f>IF(N382="zákl. přenesená",J382,0)</f>
        <v>0</v>
      </c>
      <c r="BH382" s="8">
        <f>IF(N382="sníž. přenesená",J382,0)</f>
        <v>0</v>
      </c>
      <c r="BI382" s="8">
        <f>IF(N382="nulová",J382,0)</f>
        <v>0</v>
      </c>
      <c r="BJ382" s="7" t="s">
        <v>2</v>
      </c>
      <c r="BK382" s="8">
        <f>ROUND(I382*H382,2)</f>
        <v>0</v>
      </c>
      <c r="BL382" s="7" t="s">
        <v>328</v>
      </c>
      <c r="BM382" s="6" t="s">
        <v>685</v>
      </c>
    </row>
    <row r="383" spans="2:65" s="2" customFormat="1">
      <c r="B383" s="3"/>
      <c r="D383" s="107" t="s">
        <v>651</v>
      </c>
      <c r="F383" s="106" t="s">
        <v>684</v>
      </c>
      <c r="I383" s="94"/>
      <c r="L383" s="3"/>
      <c r="M383" s="100"/>
      <c r="T383" s="99"/>
      <c r="AT383" s="7" t="s">
        <v>651</v>
      </c>
      <c r="AU383" s="7" t="s">
        <v>365</v>
      </c>
    </row>
    <row r="384" spans="2:65" s="2" customFormat="1" ht="24.2" customHeight="1">
      <c r="B384" s="3"/>
      <c r="C384" s="20" t="s">
        <v>122</v>
      </c>
      <c r="D384" s="20" t="s">
        <v>4</v>
      </c>
      <c r="E384" s="19" t="s">
        <v>683</v>
      </c>
      <c r="F384" s="14" t="s">
        <v>682</v>
      </c>
      <c r="G384" s="18" t="s">
        <v>21</v>
      </c>
      <c r="H384" s="17">
        <v>1</v>
      </c>
      <c r="I384" s="16"/>
      <c r="J384" s="15">
        <f>ROUND(I384*H384,2)</f>
        <v>0</v>
      </c>
      <c r="K384" s="14" t="s">
        <v>654</v>
      </c>
      <c r="L384" s="3"/>
      <c r="M384" s="24" t="s">
        <v>6</v>
      </c>
      <c r="N384" s="23" t="s">
        <v>5</v>
      </c>
      <c r="P384" s="22">
        <f>O384*H384</f>
        <v>0</v>
      </c>
      <c r="Q384" s="22">
        <v>3.0000000000000001E-5</v>
      </c>
      <c r="R384" s="22">
        <f>Q384*H384</f>
        <v>3.0000000000000001E-5</v>
      </c>
      <c r="S384" s="22">
        <v>0</v>
      </c>
      <c r="T384" s="21">
        <f>S384*H384</f>
        <v>0</v>
      </c>
      <c r="AR384" s="6" t="s">
        <v>328</v>
      </c>
      <c r="AT384" s="6" t="s">
        <v>4</v>
      </c>
      <c r="AU384" s="6" t="s">
        <v>365</v>
      </c>
      <c r="AY384" s="7" t="s">
        <v>3</v>
      </c>
      <c r="BE384" s="8">
        <f>IF(N384="základní",J384,0)</f>
        <v>0</v>
      </c>
      <c r="BF384" s="8">
        <f>IF(N384="snížená",J384,0)</f>
        <v>0</v>
      </c>
      <c r="BG384" s="8">
        <f>IF(N384="zákl. přenesená",J384,0)</f>
        <v>0</v>
      </c>
      <c r="BH384" s="8">
        <f>IF(N384="sníž. přenesená",J384,0)</f>
        <v>0</v>
      </c>
      <c r="BI384" s="8">
        <f>IF(N384="nulová",J384,0)</f>
        <v>0</v>
      </c>
      <c r="BJ384" s="7" t="s">
        <v>2</v>
      </c>
      <c r="BK384" s="8">
        <f>ROUND(I384*H384,2)</f>
        <v>0</v>
      </c>
      <c r="BL384" s="7" t="s">
        <v>328</v>
      </c>
      <c r="BM384" s="6" t="s">
        <v>681</v>
      </c>
    </row>
    <row r="385" spans="2:65" s="2" customFormat="1">
      <c r="B385" s="3"/>
      <c r="D385" s="107" t="s">
        <v>651</v>
      </c>
      <c r="F385" s="106" t="s">
        <v>680</v>
      </c>
      <c r="I385" s="94"/>
      <c r="L385" s="3"/>
      <c r="M385" s="100"/>
      <c r="T385" s="99"/>
      <c r="AT385" s="7" t="s">
        <v>651</v>
      </c>
      <c r="AU385" s="7" t="s">
        <v>365</v>
      </c>
    </row>
    <row r="386" spans="2:65" s="2" customFormat="1" ht="16.5" customHeight="1">
      <c r="B386" s="3"/>
      <c r="C386" s="20" t="s">
        <v>679</v>
      </c>
      <c r="D386" s="20" t="s">
        <v>4</v>
      </c>
      <c r="E386" s="19" t="s">
        <v>678</v>
      </c>
      <c r="F386" s="14" t="s">
        <v>677</v>
      </c>
      <c r="G386" s="18" t="s">
        <v>21</v>
      </c>
      <c r="H386" s="17">
        <v>99</v>
      </c>
      <c r="I386" s="16"/>
      <c r="J386" s="15">
        <f>ROUND(I386*H386,2)</f>
        <v>0</v>
      </c>
      <c r="K386" s="14" t="s">
        <v>654</v>
      </c>
      <c r="L386" s="3"/>
      <c r="M386" s="24" t="s">
        <v>6</v>
      </c>
      <c r="N386" s="23" t="s">
        <v>5</v>
      </c>
      <c r="P386" s="22">
        <f>O386*H386</f>
        <v>0</v>
      </c>
      <c r="Q386" s="22">
        <v>2.0000000000000002E-5</v>
      </c>
      <c r="R386" s="22">
        <f>Q386*H386</f>
        <v>1.98E-3</v>
      </c>
      <c r="S386" s="22">
        <v>0</v>
      </c>
      <c r="T386" s="21">
        <f>S386*H386</f>
        <v>0</v>
      </c>
      <c r="AR386" s="6" t="s">
        <v>328</v>
      </c>
      <c r="AT386" s="6" t="s">
        <v>4</v>
      </c>
      <c r="AU386" s="6" t="s">
        <v>365</v>
      </c>
      <c r="AY386" s="7" t="s">
        <v>3</v>
      </c>
      <c r="BE386" s="8">
        <f>IF(N386="základní",J386,0)</f>
        <v>0</v>
      </c>
      <c r="BF386" s="8">
        <f>IF(N386="snížená",J386,0)</f>
        <v>0</v>
      </c>
      <c r="BG386" s="8">
        <f>IF(N386="zákl. přenesená",J386,0)</f>
        <v>0</v>
      </c>
      <c r="BH386" s="8">
        <f>IF(N386="sníž. přenesená",J386,0)</f>
        <v>0</v>
      </c>
      <c r="BI386" s="8">
        <f>IF(N386="nulová",J386,0)</f>
        <v>0</v>
      </c>
      <c r="BJ386" s="7" t="s">
        <v>2</v>
      </c>
      <c r="BK386" s="8">
        <f>ROUND(I386*H386,2)</f>
        <v>0</v>
      </c>
      <c r="BL386" s="7" t="s">
        <v>328</v>
      </c>
      <c r="BM386" s="6" t="s">
        <v>676</v>
      </c>
    </row>
    <row r="387" spans="2:65" s="2" customFormat="1">
      <c r="B387" s="3"/>
      <c r="D387" s="107" t="s">
        <v>651</v>
      </c>
      <c r="F387" s="106" t="s">
        <v>675</v>
      </c>
      <c r="I387" s="94"/>
      <c r="L387" s="3"/>
      <c r="M387" s="100"/>
      <c r="T387" s="99"/>
      <c r="AT387" s="7" t="s">
        <v>651</v>
      </c>
      <c r="AU387" s="7" t="s">
        <v>365</v>
      </c>
    </row>
    <row r="388" spans="2:65" s="2" customFormat="1" ht="21.75" customHeight="1">
      <c r="B388" s="3"/>
      <c r="C388" s="20" t="s">
        <v>118</v>
      </c>
      <c r="D388" s="20" t="s">
        <v>4</v>
      </c>
      <c r="E388" s="19" t="s">
        <v>674</v>
      </c>
      <c r="F388" s="14" t="s">
        <v>673</v>
      </c>
      <c r="G388" s="18" t="s">
        <v>21</v>
      </c>
      <c r="H388" s="17">
        <v>1</v>
      </c>
      <c r="I388" s="16"/>
      <c r="J388" s="15">
        <f>ROUND(I388*H388,2)</f>
        <v>0</v>
      </c>
      <c r="K388" s="14" t="s">
        <v>654</v>
      </c>
      <c r="L388" s="3"/>
      <c r="M388" s="24" t="s">
        <v>6</v>
      </c>
      <c r="N388" s="23" t="s">
        <v>5</v>
      </c>
      <c r="P388" s="22">
        <f>O388*H388</f>
        <v>0</v>
      </c>
      <c r="Q388" s="22">
        <v>4.0000000000000003E-5</v>
      </c>
      <c r="R388" s="22">
        <f>Q388*H388</f>
        <v>4.0000000000000003E-5</v>
      </c>
      <c r="S388" s="22">
        <v>0</v>
      </c>
      <c r="T388" s="21">
        <f>S388*H388</f>
        <v>0</v>
      </c>
      <c r="AR388" s="6" t="s">
        <v>328</v>
      </c>
      <c r="AT388" s="6" t="s">
        <v>4</v>
      </c>
      <c r="AU388" s="6" t="s">
        <v>365</v>
      </c>
      <c r="AY388" s="7" t="s">
        <v>3</v>
      </c>
      <c r="BE388" s="8">
        <f>IF(N388="základní",J388,0)</f>
        <v>0</v>
      </c>
      <c r="BF388" s="8">
        <f>IF(N388="snížená",J388,0)</f>
        <v>0</v>
      </c>
      <c r="BG388" s="8">
        <f>IF(N388="zákl. přenesená",J388,0)</f>
        <v>0</v>
      </c>
      <c r="BH388" s="8">
        <f>IF(N388="sníž. přenesená",J388,0)</f>
        <v>0</v>
      </c>
      <c r="BI388" s="8">
        <f>IF(N388="nulová",J388,0)</f>
        <v>0</v>
      </c>
      <c r="BJ388" s="7" t="s">
        <v>2</v>
      </c>
      <c r="BK388" s="8">
        <f>ROUND(I388*H388,2)</f>
        <v>0</v>
      </c>
      <c r="BL388" s="7" t="s">
        <v>328</v>
      </c>
      <c r="BM388" s="6" t="s">
        <v>672</v>
      </c>
    </row>
    <row r="389" spans="2:65" s="2" customFormat="1">
      <c r="B389" s="3"/>
      <c r="D389" s="107" t="s">
        <v>651</v>
      </c>
      <c r="F389" s="106" t="s">
        <v>671</v>
      </c>
      <c r="I389" s="94"/>
      <c r="L389" s="3"/>
      <c r="M389" s="100"/>
      <c r="T389" s="99"/>
      <c r="AT389" s="7" t="s">
        <v>651</v>
      </c>
      <c r="AU389" s="7" t="s">
        <v>365</v>
      </c>
    </row>
    <row r="390" spans="2:65" s="2" customFormat="1" ht="16.5" customHeight="1">
      <c r="B390" s="3"/>
      <c r="C390" s="20" t="s">
        <v>670</v>
      </c>
      <c r="D390" s="20" t="s">
        <v>4</v>
      </c>
      <c r="E390" s="19" t="s">
        <v>669</v>
      </c>
      <c r="F390" s="14" t="s">
        <v>668</v>
      </c>
      <c r="G390" s="18" t="s">
        <v>21</v>
      </c>
      <c r="H390" s="17">
        <v>99</v>
      </c>
      <c r="I390" s="16"/>
      <c r="J390" s="15">
        <f>ROUND(I390*H390,2)</f>
        <v>0</v>
      </c>
      <c r="K390" s="14" t="s">
        <v>654</v>
      </c>
      <c r="L390" s="3"/>
      <c r="M390" s="24" t="s">
        <v>6</v>
      </c>
      <c r="N390" s="23" t="s">
        <v>5</v>
      </c>
      <c r="P390" s="22">
        <f>O390*H390</f>
        <v>0</v>
      </c>
      <c r="Q390" s="22">
        <v>2.0000000000000002E-5</v>
      </c>
      <c r="R390" s="22">
        <f>Q390*H390</f>
        <v>1.98E-3</v>
      </c>
      <c r="S390" s="22">
        <v>0</v>
      </c>
      <c r="T390" s="21">
        <f>S390*H390</f>
        <v>0</v>
      </c>
      <c r="AR390" s="6" t="s">
        <v>328</v>
      </c>
      <c r="AT390" s="6" t="s">
        <v>4</v>
      </c>
      <c r="AU390" s="6" t="s">
        <v>365</v>
      </c>
      <c r="AY390" s="7" t="s">
        <v>3</v>
      </c>
      <c r="BE390" s="8">
        <f>IF(N390="základní",J390,0)</f>
        <v>0</v>
      </c>
      <c r="BF390" s="8">
        <f>IF(N390="snížená",J390,0)</f>
        <v>0</v>
      </c>
      <c r="BG390" s="8">
        <f>IF(N390="zákl. přenesená",J390,0)</f>
        <v>0</v>
      </c>
      <c r="BH390" s="8">
        <f>IF(N390="sníž. přenesená",J390,0)</f>
        <v>0</v>
      </c>
      <c r="BI390" s="8">
        <f>IF(N390="nulová",J390,0)</f>
        <v>0</v>
      </c>
      <c r="BJ390" s="7" t="s">
        <v>2</v>
      </c>
      <c r="BK390" s="8">
        <f>ROUND(I390*H390,2)</f>
        <v>0</v>
      </c>
      <c r="BL390" s="7" t="s">
        <v>328</v>
      </c>
      <c r="BM390" s="6" t="s">
        <v>667</v>
      </c>
    </row>
    <row r="391" spans="2:65" s="2" customFormat="1">
      <c r="B391" s="3"/>
      <c r="D391" s="107" t="s">
        <v>651</v>
      </c>
      <c r="F391" s="106" t="s">
        <v>666</v>
      </c>
      <c r="I391" s="94"/>
      <c r="L391" s="3"/>
      <c r="M391" s="100"/>
      <c r="T391" s="99"/>
      <c r="AT391" s="7" t="s">
        <v>651</v>
      </c>
      <c r="AU391" s="7" t="s">
        <v>365</v>
      </c>
    </row>
    <row r="392" spans="2:65" s="2" customFormat="1" ht="16.5" customHeight="1">
      <c r="B392" s="3"/>
      <c r="C392" s="20" t="s">
        <v>112</v>
      </c>
      <c r="D392" s="20" t="s">
        <v>4</v>
      </c>
      <c r="E392" s="19" t="s">
        <v>665</v>
      </c>
      <c r="F392" s="14" t="s">
        <v>664</v>
      </c>
      <c r="G392" s="18" t="s">
        <v>21</v>
      </c>
      <c r="H392" s="17">
        <v>1</v>
      </c>
      <c r="I392" s="16"/>
      <c r="J392" s="15">
        <f>ROUND(I392*H392,2)</f>
        <v>0</v>
      </c>
      <c r="K392" s="14" t="s">
        <v>654</v>
      </c>
      <c r="L392" s="3"/>
      <c r="M392" s="24" t="s">
        <v>6</v>
      </c>
      <c r="N392" s="23" t="s">
        <v>5</v>
      </c>
      <c r="P392" s="22">
        <f>O392*H392</f>
        <v>0</v>
      </c>
      <c r="Q392" s="22">
        <v>4.0000000000000003E-5</v>
      </c>
      <c r="R392" s="22">
        <f>Q392*H392</f>
        <v>4.0000000000000003E-5</v>
      </c>
      <c r="S392" s="22">
        <v>0</v>
      </c>
      <c r="T392" s="21">
        <f>S392*H392</f>
        <v>0</v>
      </c>
      <c r="AR392" s="6" t="s">
        <v>328</v>
      </c>
      <c r="AT392" s="6" t="s">
        <v>4</v>
      </c>
      <c r="AU392" s="6" t="s">
        <v>365</v>
      </c>
      <c r="AY392" s="7" t="s">
        <v>3</v>
      </c>
      <c r="BE392" s="8">
        <f>IF(N392="základní",J392,0)</f>
        <v>0</v>
      </c>
      <c r="BF392" s="8">
        <f>IF(N392="snížená",J392,0)</f>
        <v>0</v>
      </c>
      <c r="BG392" s="8">
        <f>IF(N392="zákl. přenesená",J392,0)</f>
        <v>0</v>
      </c>
      <c r="BH392" s="8">
        <f>IF(N392="sníž. přenesená",J392,0)</f>
        <v>0</v>
      </c>
      <c r="BI392" s="8">
        <f>IF(N392="nulová",J392,0)</f>
        <v>0</v>
      </c>
      <c r="BJ392" s="7" t="s">
        <v>2</v>
      </c>
      <c r="BK392" s="8">
        <f>ROUND(I392*H392,2)</f>
        <v>0</v>
      </c>
      <c r="BL392" s="7" t="s">
        <v>328</v>
      </c>
      <c r="BM392" s="6" t="s">
        <v>663</v>
      </c>
    </row>
    <row r="393" spans="2:65" s="2" customFormat="1">
      <c r="B393" s="3"/>
      <c r="D393" s="107" t="s">
        <v>651</v>
      </c>
      <c r="F393" s="106" t="s">
        <v>662</v>
      </c>
      <c r="I393" s="94"/>
      <c r="L393" s="3"/>
      <c r="M393" s="100"/>
      <c r="T393" s="99"/>
      <c r="AT393" s="7" t="s">
        <v>651</v>
      </c>
      <c r="AU393" s="7" t="s">
        <v>365</v>
      </c>
    </row>
    <row r="394" spans="2:65" s="2" customFormat="1" ht="21.75" customHeight="1">
      <c r="B394" s="3"/>
      <c r="C394" s="20" t="s">
        <v>661</v>
      </c>
      <c r="D394" s="20" t="s">
        <v>4</v>
      </c>
      <c r="E394" s="19" t="s">
        <v>660</v>
      </c>
      <c r="F394" s="14" t="s">
        <v>659</v>
      </c>
      <c r="G394" s="18" t="s">
        <v>21</v>
      </c>
      <c r="H394" s="17">
        <v>99</v>
      </c>
      <c r="I394" s="16"/>
      <c r="J394" s="15">
        <f>ROUND(I394*H394,2)</f>
        <v>0</v>
      </c>
      <c r="K394" s="14" t="s">
        <v>654</v>
      </c>
      <c r="L394" s="3"/>
      <c r="M394" s="24" t="s">
        <v>6</v>
      </c>
      <c r="N394" s="23" t="s">
        <v>5</v>
      </c>
      <c r="P394" s="22">
        <f>O394*H394</f>
        <v>0</v>
      </c>
      <c r="Q394" s="22">
        <v>2.0000000000000002E-5</v>
      </c>
      <c r="R394" s="22">
        <f>Q394*H394</f>
        <v>1.98E-3</v>
      </c>
      <c r="S394" s="22">
        <v>0</v>
      </c>
      <c r="T394" s="21">
        <f>S394*H394</f>
        <v>0</v>
      </c>
      <c r="AR394" s="6" t="s">
        <v>328</v>
      </c>
      <c r="AT394" s="6" t="s">
        <v>4</v>
      </c>
      <c r="AU394" s="6" t="s">
        <v>365</v>
      </c>
      <c r="AY394" s="7" t="s">
        <v>3</v>
      </c>
      <c r="BE394" s="8">
        <f>IF(N394="základní",J394,0)</f>
        <v>0</v>
      </c>
      <c r="BF394" s="8">
        <f>IF(N394="snížená",J394,0)</f>
        <v>0</v>
      </c>
      <c r="BG394" s="8">
        <f>IF(N394="zákl. přenesená",J394,0)</f>
        <v>0</v>
      </c>
      <c r="BH394" s="8">
        <f>IF(N394="sníž. přenesená",J394,0)</f>
        <v>0</v>
      </c>
      <c r="BI394" s="8">
        <f>IF(N394="nulová",J394,0)</f>
        <v>0</v>
      </c>
      <c r="BJ394" s="7" t="s">
        <v>2</v>
      </c>
      <c r="BK394" s="8">
        <f>ROUND(I394*H394,2)</f>
        <v>0</v>
      </c>
      <c r="BL394" s="7" t="s">
        <v>328</v>
      </c>
      <c r="BM394" s="6" t="s">
        <v>658</v>
      </c>
    </row>
    <row r="395" spans="2:65" s="2" customFormat="1">
      <c r="B395" s="3"/>
      <c r="D395" s="107" t="s">
        <v>651</v>
      </c>
      <c r="F395" s="106" t="s">
        <v>657</v>
      </c>
      <c r="I395" s="94"/>
      <c r="L395" s="3"/>
      <c r="M395" s="100"/>
      <c r="T395" s="99"/>
      <c r="AT395" s="7" t="s">
        <v>651</v>
      </c>
      <c r="AU395" s="7" t="s">
        <v>365</v>
      </c>
    </row>
    <row r="396" spans="2:65" s="2" customFormat="1" ht="24.2" customHeight="1">
      <c r="B396" s="3"/>
      <c r="C396" s="20" t="s">
        <v>106</v>
      </c>
      <c r="D396" s="20" t="s">
        <v>4</v>
      </c>
      <c r="E396" s="19" t="s">
        <v>656</v>
      </c>
      <c r="F396" s="14" t="s">
        <v>655</v>
      </c>
      <c r="G396" s="18" t="s">
        <v>21</v>
      </c>
      <c r="H396" s="17">
        <v>1</v>
      </c>
      <c r="I396" s="16"/>
      <c r="J396" s="15">
        <f>ROUND(I396*H396,2)</f>
        <v>0</v>
      </c>
      <c r="K396" s="14" t="s">
        <v>654</v>
      </c>
      <c r="L396" s="3"/>
      <c r="M396" s="24" t="s">
        <v>6</v>
      </c>
      <c r="N396" s="23" t="s">
        <v>5</v>
      </c>
      <c r="P396" s="22">
        <f>O396*H396</f>
        <v>0</v>
      </c>
      <c r="Q396" s="22">
        <v>4.0000000000000003E-5</v>
      </c>
      <c r="R396" s="22">
        <f>Q396*H396</f>
        <v>4.0000000000000003E-5</v>
      </c>
      <c r="S396" s="22">
        <v>0</v>
      </c>
      <c r="T396" s="21">
        <f>S396*H396</f>
        <v>0</v>
      </c>
      <c r="AR396" s="6" t="s">
        <v>328</v>
      </c>
      <c r="AT396" s="6" t="s">
        <v>4</v>
      </c>
      <c r="AU396" s="6" t="s">
        <v>365</v>
      </c>
      <c r="AY396" s="7" t="s">
        <v>3</v>
      </c>
      <c r="BE396" s="8">
        <f>IF(N396="základní",J396,0)</f>
        <v>0</v>
      </c>
      <c r="BF396" s="8">
        <f>IF(N396="snížená",J396,0)</f>
        <v>0</v>
      </c>
      <c r="BG396" s="8">
        <f>IF(N396="zákl. přenesená",J396,0)</f>
        <v>0</v>
      </c>
      <c r="BH396" s="8">
        <f>IF(N396="sníž. přenesená",J396,0)</f>
        <v>0</v>
      </c>
      <c r="BI396" s="8">
        <f>IF(N396="nulová",J396,0)</f>
        <v>0</v>
      </c>
      <c r="BJ396" s="7" t="s">
        <v>2</v>
      </c>
      <c r="BK396" s="8">
        <f>ROUND(I396*H396,2)</f>
        <v>0</v>
      </c>
      <c r="BL396" s="7" t="s">
        <v>328</v>
      </c>
      <c r="BM396" s="6" t="s">
        <v>653</v>
      </c>
    </row>
    <row r="397" spans="2:65" s="2" customFormat="1">
      <c r="B397" s="3"/>
      <c r="D397" s="107" t="s">
        <v>651</v>
      </c>
      <c r="F397" s="106" t="s">
        <v>652</v>
      </c>
      <c r="I397" s="94"/>
      <c r="L397" s="3"/>
      <c r="M397" s="93"/>
      <c r="N397" s="11"/>
      <c r="O397" s="11"/>
      <c r="P397" s="11"/>
      <c r="Q397" s="11"/>
      <c r="R397" s="11"/>
      <c r="S397" s="11"/>
      <c r="T397" s="92"/>
      <c r="AT397" s="7" t="s">
        <v>651</v>
      </c>
      <c r="AU397" s="7" t="s">
        <v>365</v>
      </c>
    </row>
    <row r="398" spans="2:65" s="2" customFormat="1" ht="6.95" customHeight="1">
      <c r="B398" s="5"/>
      <c r="C398" s="4"/>
      <c r="D398" s="4"/>
      <c r="E398" s="4"/>
      <c r="F398" s="4"/>
      <c r="G398" s="4"/>
      <c r="H398" s="4"/>
      <c r="I398" s="4"/>
      <c r="J398" s="4"/>
      <c r="K398" s="4"/>
      <c r="L398" s="3"/>
    </row>
  </sheetData>
  <sheetProtection algorithmName="SHA-512" hashValue="eIA+EntEafWncOnVUfIOhY/+SLtB3HvmacPM7qFuPUNFT/SSBxwydKAtVoxNaX1tMI5lKrMee3zPXDrZ8I3VBA==" saltValue="93797B3Cp810t39+9M3OwXeeZJwdL4xRqU+R0G7jiebn4YT9K4LIOaZrWRpZNGAGASySX/iL5iQO8Bt29LHE/A==" spinCount="100000" sheet="1" objects="1" scenarios="1" formatColumns="0" formatRows="0" autoFilter="0"/>
  <autoFilter ref="C88:K397" xr:uid="{00000000-0009-0000-0000-000001000000}"/>
  <mergeCells count="9">
    <mergeCell ref="E50:H50"/>
    <mergeCell ref="E79:H79"/>
    <mergeCell ref="E81:H81"/>
    <mergeCell ref="L2:V2"/>
    <mergeCell ref="E7:H7"/>
    <mergeCell ref="E9:H9"/>
    <mergeCell ref="E18:H18"/>
    <mergeCell ref="E27:H27"/>
    <mergeCell ref="E48:H48"/>
  </mergeCells>
  <hyperlinks>
    <hyperlink ref="F93" r:id="rId1" xr:uid="{45944C0D-03FA-4757-B8B4-3522779E54B2}"/>
    <hyperlink ref="F96" r:id="rId2" xr:uid="{D42446C6-D43C-4198-A008-76D152039255}"/>
    <hyperlink ref="F100" r:id="rId3" xr:uid="{150CB1AB-B9E0-42C3-BB2B-C849B63A2CC1}"/>
    <hyperlink ref="F104" r:id="rId4" xr:uid="{3A7B3601-E88D-45BD-8F70-A8B03EC1F37D}"/>
    <hyperlink ref="F108" r:id="rId5" xr:uid="{08827D4D-CE75-4B7A-821C-0D70D425D94E}"/>
    <hyperlink ref="F112" r:id="rId6" xr:uid="{F2572836-1D36-4969-A8A4-683C30A686F1}"/>
    <hyperlink ref="F115" r:id="rId7" xr:uid="{41E9FA2D-CBDB-49B9-A48E-42FAEE5CF2ED}"/>
    <hyperlink ref="F119" r:id="rId8" xr:uid="{25DB282E-D67F-4FB6-A267-909CF155F6B0}"/>
    <hyperlink ref="F122" r:id="rId9" xr:uid="{FD0F285F-FF7F-4E4A-BDF7-0690F9C6A5F0}"/>
    <hyperlink ref="F125" r:id="rId10" xr:uid="{0AC80233-B9E5-4234-AF6A-37013494DDEB}"/>
    <hyperlink ref="F149" r:id="rId11" xr:uid="{F203A0EA-6E03-44DF-AC4E-BCC77940E997}"/>
    <hyperlink ref="F152" r:id="rId12" xr:uid="{3C2862C5-6093-4D0E-AB51-37B562F93A3E}"/>
    <hyperlink ref="F155" r:id="rId13" xr:uid="{68455A79-2888-4FFB-962E-34A453E319A6}"/>
    <hyperlink ref="F158" r:id="rId14" xr:uid="{E85F3353-BDED-4B08-AFB0-D21F58F36221}"/>
    <hyperlink ref="F161" r:id="rId15" xr:uid="{F7E88EB1-C7D8-4FBB-B4B3-2DF8F519EED9}"/>
    <hyperlink ref="F165" r:id="rId16" xr:uid="{7DC873FE-5E3C-4F37-A3E7-7CA6AC5D3A6A}"/>
    <hyperlink ref="F173" r:id="rId17" xr:uid="{F1131371-34FD-4705-A49E-1EBFF6DB3393}"/>
    <hyperlink ref="F176" r:id="rId18" xr:uid="{833BE849-D703-4531-A079-713E9CE61009}"/>
    <hyperlink ref="F179" r:id="rId19" xr:uid="{677795E0-D686-49DF-8394-890C9D8604C0}"/>
    <hyperlink ref="F182" r:id="rId20" xr:uid="{B34C0ADF-89E6-4870-B794-9306A15EA946}"/>
    <hyperlink ref="F185" r:id="rId21" xr:uid="{AC0B0C71-F95B-4534-801E-168ACFBA3CDE}"/>
    <hyperlink ref="F187" r:id="rId22" xr:uid="{1FE001DD-850B-400E-9DA2-F725AB52704A}"/>
    <hyperlink ref="F192" r:id="rId23" xr:uid="{02976E12-797B-4B14-B174-3042F7745112}"/>
    <hyperlink ref="F194" r:id="rId24" xr:uid="{6404B20C-3E8B-4227-A976-5753FF34C979}"/>
    <hyperlink ref="F196" r:id="rId25" xr:uid="{9E49AF78-8383-4713-9E22-2DAD018F3F5D}"/>
    <hyperlink ref="F198" r:id="rId26" xr:uid="{46CA67D6-FF63-4361-950E-F6E71BAD7990}"/>
    <hyperlink ref="F200" r:id="rId27" xr:uid="{3471D17D-957C-4BE1-A9CA-57A666DD67D7}"/>
    <hyperlink ref="F202" r:id="rId28" xr:uid="{AC28095D-6793-48D5-A970-093A3757FBB5}"/>
    <hyperlink ref="F204" r:id="rId29" xr:uid="{B1581CEE-446B-47D1-A83F-4D8A2AA09731}"/>
    <hyperlink ref="F206" r:id="rId30" xr:uid="{1873E9D5-6E00-4B66-B9C3-ED9A1B754555}"/>
    <hyperlink ref="F208" r:id="rId31" xr:uid="{9D54413A-F2EF-4E3A-8D9F-CADB2EAAE3E2}"/>
    <hyperlink ref="F211" r:id="rId32" xr:uid="{CF763882-0CB2-440E-B47F-9823AB33341E}"/>
    <hyperlink ref="F214" r:id="rId33" xr:uid="{2555EB80-2AB0-4B26-9500-AEB66DC0B8F5}"/>
    <hyperlink ref="F217" r:id="rId34" xr:uid="{4728A167-FACD-487A-9797-8B030195951F}"/>
    <hyperlink ref="F220" r:id="rId35" xr:uid="{27C41FBB-A47F-4C55-8450-59AA6B3F1E6F}"/>
    <hyperlink ref="F222" r:id="rId36" xr:uid="{67FF3BBC-D90D-4B77-827A-E63B1E578AF4}"/>
    <hyperlink ref="F224" r:id="rId37" xr:uid="{5E365D92-8513-4B4E-BF2D-5FFAF1A788CB}"/>
    <hyperlink ref="F236" r:id="rId38" xr:uid="{6138BBB7-37C0-432A-9F83-1030BE4A4F59}"/>
    <hyperlink ref="F239" r:id="rId39" xr:uid="{E08AF48E-C8EF-4048-8878-0B7B224844A7}"/>
    <hyperlink ref="F242" r:id="rId40" xr:uid="{88115EA8-AD2F-413E-BF0D-E8FEAE2021C1}"/>
    <hyperlink ref="F244" r:id="rId41" xr:uid="{91A1095B-4F73-4DF4-A282-24B51CC87D72}"/>
    <hyperlink ref="F246" r:id="rId42" xr:uid="{BE236F4D-21DF-4A58-8464-C8A36B59C578}"/>
    <hyperlink ref="F251" r:id="rId43" xr:uid="{B4C89198-52BB-4655-A99B-4FAB27E8214D}"/>
    <hyperlink ref="F255" r:id="rId44" xr:uid="{46088CF0-8253-48F3-B7EE-E18AFF985583}"/>
    <hyperlink ref="F258" r:id="rId45" xr:uid="{01960528-78AE-49E3-AB1A-317FC828B86E}"/>
    <hyperlink ref="F261" r:id="rId46" xr:uid="{CD2AB37A-2120-4E83-A1B9-8151131C3035}"/>
    <hyperlink ref="F264" r:id="rId47" xr:uid="{6F162D5B-969B-46F5-A556-29FAF0F4A74E}"/>
    <hyperlink ref="F267" r:id="rId48" xr:uid="{E462BB69-5DC3-41B1-84E9-7D0993078441}"/>
    <hyperlink ref="F270" r:id="rId49" xr:uid="{15F820D0-5AA9-4759-A8DC-F74DD9362BAE}"/>
    <hyperlink ref="F273" r:id="rId50" xr:uid="{FC974A35-E32F-4617-96FD-037F85F7BE50}"/>
    <hyperlink ref="F276" r:id="rId51" xr:uid="{F3BA1DA0-EA1A-40A7-ADF7-4AC11E629758}"/>
    <hyperlink ref="F279" r:id="rId52" xr:uid="{CE178BAB-DED3-43BF-8351-FCEB67677976}"/>
    <hyperlink ref="F282" r:id="rId53" xr:uid="{58A48213-629E-4B51-84DD-C9D8DDD5228E}"/>
    <hyperlink ref="F287" r:id="rId54" xr:uid="{CB84FF28-1AD0-4336-AEB4-510F1EB44992}"/>
    <hyperlink ref="F290" r:id="rId55" xr:uid="{4F391E8C-927F-48C2-B646-ADD23A3209DF}"/>
    <hyperlink ref="F293" r:id="rId56" xr:uid="{1A2C732E-BB4A-4B9B-92B4-F3258421DDBE}"/>
    <hyperlink ref="F298" r:id="rId57" xr:uid="{D1DFF593-24B7-4DF1-A5F6-D4659D258D03}"/>
    <hyperlink ref="F301" r:id="rId58" xr:uid="{848141F6-71D3-45D9-A5F8-22832BDE6CA1}"/>
    <hyperlink ref="F304" r:id="rId59" xr:uid="{CC22EB2E-BF7D-4B2B-90F1-EB5537EBF087}"/>
    <hyperlink ref="F307" r:id="rId60" xr:uid="{990FA70E-D856-482F-8279-B4020BD54E00}"/>
    <hyperlink ref="F310" r:id="rId61" xr:uid="{B7A10659-B8DC-45BF-AC33-8420F91C8572}"/>
    <hyperlink ref="F313" r:id="rId62" xr:uid="{6A11DABF-D70E-4478-9DD3-078A880104AB}"/>
    <hyperlink ref="F316" r:id="rId63" xr:uid="{F8613BDE-0927-4CDA-AF61-94DA56CA8C5F}"/>
    <hyperlink ref="F319" r:id="rId64" xr:uid="{06581864-31BB-424B-AA0A-70FE379B435D}"/>
    <hyperlink ref="F322" r:id="rId65" xr:uid="{8DB99BE5-6FAA-4137-BE1B-C60BD90DE927}"/>
    <hyperlink ref="F325" r:id="rId66" xr:uid="{0D475EFA-D252-4772-8DFE-F14ADAC0B1A8}"/>
    <hyperlink ref="F327" r:id="rId67" xr:uid="{4BF76C7C-3DE9-416B-88D2-09941044DB63}"/>
    <hyperlink ref="F330" r:id="rId68" xr:uid="{33602856-EC24-4F29-A0B9-41A89E12687F}"/>
    <hyperlink ref="F333" r:id="rId69" xr:uid="{B06AA6F5-0279-49D3-84F3-4601830D59C5}"/>
    <hyperlink ref="F336" r:id="rId70" xr:uid="{092A7548-E585-428B-ACDB-FB77CB58B5EC}"/>
    <hyperlink ref="F339" r:id="rId71" xr:uid="{1A369B88-0754-4D04-BF3A-3664A98B95F9}"/>
    <hyperlink ref="F342" r:id="rId72" xr:uid="{8F27F3DA-FD2C-456B-99E9-AF72A68FBFB6}"/>
    <hyperlink ref="F345" r:id="rId73" xr:uid="{0AFC68F4-B943-4125-B917-92605268C1BF}"/>
    <hyperlink ref="F347" r:id="rId74" xr:uid="{4A35803D-2A44-4F14-AB7C-DBF0E6D7E660}"/>
    <hyperlink ref="F349" r:id="rId75" xr:uid="{6F164AD1-69C9-407A-AC4D-369EC2BEADF2}"/>
    <hyperlink ref="F351" r:id="rId76" xr:uid="{566A7305-62C7-4A0C-BFC7-A33703C18A25}"/>
    <hyperlink ref="F354" r:id="rId77" xr:uid="{823EF29E-1E30-48A7-8018-0A5DBC581F97}"/>
    <hyperlink ref="F358" r:id="rId78" xr:uid="{A154B6EF-0616-4888-AF3A-3BD38B123408}"/>
    <hyperlink ref="F361" r:id="rId79" xr:uid="{B9C4DC32-4039-4BF4-BBE0-5F495B2A5E35}"/>
    <hyperlink ref="F364" r:id="rId80" xr:uid="{A8E2BD44-BDE4-4303-A834-AC1DDE2373E7}"/>
    <hyperlink ref="F367" r:id="rId81" xr:uid="{76D17785-0F4E-49B8-A94A-5D7EC6634D7F}"/>
    <hyperlink ref="F374" r:id="rId82" xr:uid="{16D2AA6B-2781-4FE4-9763-98EFEBC2740D}"/>
    <hyperlink ref="F377" r:id="rId83" xr:uid="{70C81A93-3266-4D3B-ABDE-46A24B718EB8}"/>
    <hyperlink ref="F379" r:id="rId84" xr:uid="{B8D5F798-7C2E-4FDB-962D-66EAE4F9F0FD}"/>
    <hyperlink ref="F381" r:id="rId85" xr:uid="{EDA7BCB7-575C-4878-A030-42C7293D95BC}"/>
    <hyperlink ref="F383" r:id="rId86" xr:uid="{94BBE888-AE24-4653-903E-1DD48FD6A18E}"/>
    <hyperlink ref="F385" r:id="rId87" xr:uid="{7FAB5FD1-6D2F-4186-AE1A-C5188ABE2833}"/>
    <hyperlink ref="F387" r:id="rId88" xr:uid="{CB5076BF-CA25-4740-BCC9-E2CF12FBF5D9}"/>
    <hyperlink ref="F389" r:id="rId89" xr:uid="{0E55D50C-DF46-4246-A57D-C81AB2053066}"/>
    <hyperlink ref="F391" r:id="rId90" xr:uid="{FD1ABA24-5CD5-45D8-A844-DE7E094D7B4D}"/>
    <hyperlink ref="F393" r:id="rId91" xr:uid="{0FE345B6-EDC6-4A3D-BB19-F87C4F0D1888}"/>
    <hyperlink ref="F395" r:id="rId92" xr:uid="{09195D7D-CF4B-48A1-B5FE-B8C1C4420D83}"/>
    <hyperlink ref="F397" r:id="rId93" xr:uid="{D32FA96E-508D-4B2D-A65D-118067567FE9}"/>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9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AFA4C-18D4-4569-9E74-AB95B50ACA8C}">
  <sheetPr>
    <pageSetUpPr fitToPage="1"/>
  </sheetPr>
  <dimension ref="A1:CM57"/>
  <sheetViews>
    <sheetView showGridLines="0" workbookViewId="0"/>
  </sheetViews>
  <sheetFormatPr defaultRowHeight="11.25"/>
  <cols>
    <col min="1" max="1" width="7.140625" style="1" customWidth="1"/>
    <col min="2" max="2" width="1.42578125" style="1" customWidth="1"/>
    <col min="3" max="3" width="3.5703125" style="1" customWidth="1"/>
    <col min="4" max="33" width="2.28515625" style="1" customWidth="1"/>
    <col min="34" max="34" width="2.85546875" style="1" customWidth="1"/>
    <col min="35" max="35" width="27.140625" style="1" customWidth="1"/>
    <col min="36" max="37" width="2.140625" style="1" customWidth="1"/>
    <col min="38" max="38" width="7.140625" style="1" customWidth="1"/>
    <col min="39" max="39" width="2.85546875" style="1" customWidth="1"/>
    <col min="40" max="40" width="11.42578125" style="1" customWidth="1"/>
    <col min="41" max="41" width="6.42578125" style="1" customWidth="1"/>
    <col min="42" max="42" width="3.5703125" style="1" customWidth="1"/>
    <col min="43" max="43" width="13.42578125" style="1" customWidth="1"/>
    <col min="44" max="44" width="11.7109375" style="1" customWidth="1"/>
    <col min="45" max="47" width="22.140625" style="1" hidden="1" customWidth="1"/>
    <col min="48" max="49" width="18.5703125" style="1" hidden="1" customWidth="1"/>
    <col min="50" max="51" width="21.42578125" style="1" hidden="1" customWidth="1"/>
    <col min="52" max="52" width="18.5703125" style="1" hidden="1" customWidth="1"/>
    <col min="53" max="53" width="16.42578125" style="1" hidden="1" customWidth="1"/>
    <col min="54" max="54" width="21.42578125" style="1" hidden="1" customWidth="1"/>
    <col min="55" max="55" width="18.5703125" style="1" hidden="1" customWidth="1"/>
    <col min="56" max="56" width="16.42578125" style="1" hidden="1" customWidth="1"/>
    <col min="57" max="57" width="57" style="1" customWidth="1"/>
    <col min="58" max="16384" width="9.140625" style="1"/>
  </cols>
  <sheetData>
    <row r="1" spans="1:74">
      <c r="A1" s="351" t="s">
        <v>2684</v>
      </c>
      <c r="AZ1" s="351" t="s">
        <v>2683</v>
      </c>
      <c r="BA1" s="351" t="s">
        <v>2682</v>
      </c>
      <c r="BB1" s="351" t="s">
        <v>2681</v>
      </c>
      <c r="BT1" s="351" t="s">
        <v>438</v>
      </c>
      <c r="BU1" s="351" t="s">
        <v>438</v>
      </c>
      <c r="BV1" s="351" t="s">
        <v>2650</v>
      </c>
    </row>
    <row r="2" spans="1:74" ht="36.950000000000003" customHeight="1">
      <c r="AR2" s="260"/>
      <c r="AS2" s="260"/>
      <c r="AT2" s="260"/>
      <c r="AU2" s="260"/>
      <c r="AV2" s="260"/>
      <c r="AW2" s="260"/>
      <c r="AX2" s="260"/>
      <c r="AY2" s="260"/>
      <c r="AZ2" s="260"/>
      <c r="BA2" s="260"/>
      <c r="BB2" s="260"/>
      <c r="BC2" s="260"/>
      <c r="BD2" s="260"/>
      <c r="BE2" s="260"/>
      <c r="BS2" s="7" t="s">
        <v>2675</v>
      </c>
      <c r="BT2" s="7" t="s">
        <v>311</v>
      </c>
    </row>
    <row r="3" spans="1:74" ht="6.95" customHeight="1">
      <c r="B3" s="91"/>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72"/>
      <c r="BS3" s="7" t="s">
        <v>2675</v>
      </c>
      <c r="BT3" s="7" t="s">
        <v>332</v>
      </c>
    </row>
    <row r="4" spans="1:74" ht="24.95" customHeight="1">
      <c r="B4" s="72"/>
      <c r="D4" s="55" t="s">
        <v>2680</v>
      </c>
      <c r="AR4" s="72"/>
      <c r="AS4" s="350" t="s">
        <v>439</v>
      </c>
      <c r="BE4" s="349" t="s">
        <v>2679</v>
      </c>
      <c r="BS4" s="7" t="s">
        <v>2678</v>
      </c>
    </row>
    <row r="5" spans="1:74" ht="12" customHeight="1">
      <c r="B5" s="72"/>
      <c r="D5" s="348" t="s">
        <v>2672</v>
      </c>
      <c r="K5" s="262" t="s">
        <v>2677</v>
      </c>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R5" s="72"/>
      <c r="BE5" s="347" t="s">
        <v>2676</v>
      </c>
      <c r="BS5" s="7" t="s">
        <v>2675</v>
      </c>
    </row>
    <row r="6" spans="1:74" ht="36.950000000000003" customHeight="1">
      <c r="B6" s="72"/>
      <c r="D6" s="346" t="s">
        <v>395</v>
      </c>
      <c r="K6" s="345" t="s">
        <v>2057</v>
      </c>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R6" s="72"/>
      <c r="BE6" s="336"/>
      <c r="BS6" s="7" t="s">
        <v>2675</v>
      </c>
    </row>
    <row r="7" spans="1:74" ht="12" customHeight="1">
      <c r="B7" s="72"/>
      <c r="D7" s="52" t="s">
        <v>436</v>
      </c>
      <c r="K7" s="53" t="s">
        <v>6</v>
      </c>
      <c r="AK7" s="52" t="s">
        <v>435</v>
      </c>
      <c r="AN7" s="53" t="s">
        <v>6</v>
      </c>
      <c r="AR7" s="72"/>
      <c r="BE7" s="336"/>
      <c r="BS7" s="7" t="s">
        <v>2675</v>
      </c>
    </row>
    <row r="8" spans="1:74" ht="12" customHeight="1">
      <c r="B8" s="72"/>
      <c r="D8" s="52" t="s">
        <v>393</v>
      </c>
      <c r="K8" s="53" t="s">
        <v>434</v>
      </c>
      <c r="AK8" s="52" t="s">
        <v>392</v>
      </c>
      <c r="AN8" s="88" t="s">
        <v>2058</v>
      </c>
      <c r="AR8" s="72"/>
      <c r="BE8" s="336"/>
      <c r="BS8" s="7" t="s">
        <v>2675</v>
      </c>
    </row>
    <row r="9" spans="1:74" ht="14.45" customHeight="1">
      <c r="B9" s="72"/>
      <c r="AR9" s="72"/>
      <c r="BE9" s="336"/>
      <c r="BS9" s="7" t="s">
        <v>2675</v>
      </c>
    </row>
    <row r="10" spans="1:74" ht="12" customHeight="1">
      <c r="B10" s="72"/>
      <c r="D10" s="52" t="s">
        <v>391</v>
      </c>
      <c r="AK10" s="52" t="s">
        <v>429</v>
      </c>
      <c r="AN10" s="53" t="s">
        <v>6</v>
      </c>
      <c r="AR10" s="72"/>
      <c r="BE10" s="336"/>
      <c r="BS10" s="7" t="s">
        <v>2675</v>
      </c>
    </row>
    <row r="11" spans="1:74" ht="18.399999999999999" customHeight="1">
      <c r="B11" s="72"/>
      <c r="E11" s="53" t="s">
        <v>433</v>
      </c>
      <c r="AK11" s="52" t="s">
        <v>428</v>
      </c>
      <c r="AN11" s="53" t="s">
        <v>6</v>
      </c>
      <c r="AR11" s="72"/>
      <c r="BE11" s="336"/>
      <c r="BS11" s="7" t="s">
        <v>2675</v>
      </c>
    </row>
    <row r="12" spans="1:74" ht="6.95" customHeight="1">
      <c r="B12" s="72"/>
      <c r="AR12" s="72"/>
      <c r="BE12" s="336"/>
      <c r="BS12" s="7" t="s">
        <v>2675</v>
      </c>
    </row>
    <row r="13" spans="1:74" ht="12" customHeight="1">
      <c r="B13" s="72"/>
      <c r="D13" s="52" t="s">
        <v>389</v>
      </c>
      <c r="AK13" s="52" t="s">
        <v>429</v>
      </c>
      <c r="AN13" s="342" t="s">
        <v>2056</v>
      </c>
      <c r="AR13" s="72"/>
      <c r="BE13" s="336"/>
      <c r="BS13" s="7" t="s">
        <v>2675</v>
      </c>
    </row>
    <row r="14" spans="1:74" ht="12.75">
      <c r="B14" s="72"/>
      <c r="E14" s="344" t="s">
        <v>2056</v>
      </c>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52" t="s">
        <v>428</v>
      </c>
      <c r="AN14" s="342" t="s">
        <v>2056</v>
      </c>
      <c r="AR14" s="72"/>
      <c r="BE14" s="336"/>
      <c r="BS14" s="7" t="s">
        <v>2675</v>
      </c>
    </row>
    <row r="15" spans="1:74" ht="6.95" customHeight="1">
      <c r="B15" s="72"/>
      <c r="AR15" s="72"/>
      <c r="BE15" s="336"/>
      <c r="BS15" s="7" t="s">
        <v>438</v>
      </c>
    </row>
    <row r="16" spans="1:74" ht="12" customHeight="1">
      <c r="B16" s="72"/>
      <c r="D16" s="52" t="s">
        <v>390</v>
      </c>
      <c r="AK16" s="52" t="s">
        <v>429</v>
      </c>
      <c r="AN16" s="53" t="s">
        <v>6</v>
      </c>
      <c r="AR16" s="72"/>
      <c r="BE16" s="336"/>
      <c r="BS16" s="7" t="s">
        <v>438</v>
      </c>
    </row>
    <row r="17" spans="2:71" ht="18.399999999999999" customHeight="1">
      <c r="B17" s="72"/>
      <c r="E17" s="53" t="s">
        <v>1279</v>
      </c>
      <c r="AK17" s="52" t="s">
        <v>428</v>
      </c>
      <c r="AN17" s="53" t="s">
        <v>6</v>
      </c>
      <c r="AR17" s="72"/>
      <c r="BE17" s="336"/>
      <c r="BS17" s="7" t="s">
        <v>703</v>
      </c>
    </row>
    <row r="18" spans="2:71" ht="6.95" customHeight="1">
      <c r="B18" s="72"/>
      <c r="AR18" s="72"/>
      <c r="BE18" s="336"/>
      <c r="BS18" s="7" t="s">
        <v>2675</v>
      </c>
    </row>
    <row r="19" spans="2:71" ht="12" customHeight="1">
      <c r="B19" s="72"/>
      <c r="D19" s="52" t="s">
        <v>388</v>
      </c>
      <c r="AK19" s="52" t="s">
        <v>429</v>
      </c>
      <c r="AN19" s="53" t="s">
        <v>6</v>
      </c>
      <c r="AR19" s="72"/>
      <c r="BE19" s="336"/>
      <c r="BS19" s="7" t="s">
        <v>2675</v>
      </c>
    </row>
    <row r="20" spans="2:71" ht="18.399999999999999" customHeight="1">
      <c r="B20" s="72"/>
      <c r="E20" s="53" t="s">
        <v>1305</v>
      </c>
      <c r="AK20" s="52" t="s">
        <v>428</v>
      </c>
      <c r="AN20" s="53" t="s">
        <v>6</v>
      </c>
      <c r="AR20" s="72"/>
      <c r="BE20" s="336"/>
      <c r="BS20" s="7" t="s">
        <v>438</v>
      </c>
    </row>
    <row r="21" spans="2:71" ht="6.95" customHeight="1">
      <c r="B21" s="72"/>
      <c r="AR21" s="72"/>
      <c r="BE21" s="336"/>
    </row>
    <row r="22" spans="2:71" ht="12" customHeight="1">
      <c r="B22" s="72"/>
      <c r="D22" s="52" t="s">
        <v>427</v>
      </c>
      <c r="AR22" s="72"/>
      <c r="BE22" s="336"/>
    </row>
    <row r="23" spans="2:71" ht="59.25" customHeight="1">
      <c r="B23" s="72"/>
      <c r="E23" s="263" t="s">
        <v>2674</v>
      </c>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R23" s="72"/>
      <c r="BE23" s="336"/>
    </row>
    <row r="24" spans="2:71" ht="6.95" customHeight="1">
      <c r="B24" s="72"/>
      <c r="AR24" s="72"/>
      <c r="BE24" s="336"/>
    </row>
    <row r="25" spans="2:71" ht="6.95" customHeight="1">
      <c r="B25" s="72"/>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1"/>
      <c r="AL25" s="341"/>
      <c r="AM25" s="341"/>
      <c r="AN25" s="341"/>
      <c r="AO25" s="341"/>
      <c r="AR25" s="72"/>
      <c r="BE25" s="336"/>
    </row>
    <row r="26" spans="2:71" s="2" customFormat="1" ht="25.9" customHeight="1">
      <c r="B26" s="3"/>
      <c r="D26" s="340" t="s">
        <v>426</v>
      </c>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339">
        <f>ROUND(AG54,2)</f>
        <v>0</v>
      </c>
      <c r="AL26" s="338"/>
      <c r="AM26" s="338"/>
      <c r="AN26" s="338"/>
      <c r="AO26" s="338"/>
      <c r="AR26" s="3"/>
      <c r="BE26" s="336"/>
    </row>
    <row r="27" spans="2:71" s="2" customFormat="1" ht="6.95" customHeight="1">
      <c r="B27" s="3"/>
      <c r="AR27" s="3"/>
      <c r="BE27" s="336"/>
    </row>
    <row r="28" spans="2:71" s="2" customFormat="1" ht="12.75">
      <c r="B28" s="3"/>
      <c r="L28" s="337" t="s">
        <v>424</v>
      </c>
      <c r="M28" s="337"/>
      <c r="N28" s="337"/>
      <c r="O28" s="337"/>
      <c r="P28" s="337"/>
      <c r="W28" s="337" t="s">
        <v>425</v>
      </c>
      <c r="X28" s="337"/>
      <c r="Y28" s="337"/>
      <c r="Z28" s="337"/>
      <c r="AA28" s="337"/>
      <c r="AB28" s="337"/>
      <c r="AC28" s="337"/>
      <c r="AD28" s="337"/>
      <c r="AE28" s="337"/>
      <c r="AK28" s="337" t="s">
        <v>423</v>
      </c>
      <c r="AL28" s="337"/>
      <c r="AM28" s="337"/>
      <c r="AN28" s="337"/>
      <c r="AO28" s="337"/>
      <c r="AR28" s="3"/>
      <c r="BE28" s="336"/>
    </row>
    <row r="29" spans="2:71" s="330" customFormat="1" ht="14.45" customHeight="1">
      <c r="B29" s="331"/>
      <c r="D29" s="52" t="s">
        <v>378</v>
      </c>
      <c r="F29" s="52" t="s">
        <v>5</v>
      </c>
      <c r="L29" s="334">
        <v>0.21</v>
      </c>
      <c r="M29" s="332"/>
      <c r="N29" s="332"/>
      <c r="O29" s="332"/>
      <c r="P29" s="332"/>
      <c r="W29" s="333">
        <f>ROUND(AZ54, 2)</f>
        <v>0</v>
      </c>
      <c r="X29" s="332"/>
      <c r="Y29" s="332"/>
      <c r="Z29" s="332"/>
      <c r="AA29" s="332"/>
      <c r="AB29" s="332"/>
      <c r="AC29" s="332"/>
      <c r="AD29" s="332"/>
      <c r="AE29" s="332"/>
      <c r="AK29" s="333">
        <f>ROUND(AV54, 2)</f>
        <v>0</v>
      </c>
      <c r="AL29" s="332"/>
      <c r="AM29" s="332"/>
      <c r="AN29" s="332"/>
      <c r="AO29" s="332"/>
      <c r="AR29" s="331"/>
      <c r="BE29" s="335"/>
    </row>
    <row r="30" spans="2:71" s="330" customFormat="1" ht="14.45" customHeight="1">
      <c r="B30" s="331"/>
      <c r="F30" s="52" t="s">
        <v>422</v>
      </c>
      <c r="L30" s="334">
        <v>0.15</v>
      </c>
      <c r="M30" s="332"/>
      <c r="N30" s="332"/>
      <c r="O30" s="332"/>
      <c r="P30" s="332"/>
      <c r="W30" s="333">
        <f>ROUND(BA54, 2)</f>
        <v>0</v>
      </c>
      <c r="X30" s="332"/>
      <c r="Y30" s="332"/>
      <c r="Z30" s="332"/>
      <c r="AA30" s="332"/>
      <c r="AB30" s="332"/>
      <c r="AC30" s="332"/>
      <c r="AD30" s="332"/>
      <c r="AE30" s="332"/>
      <c r="AK30" s="333">
        <f>ROUND(AW54, 2)</f>
        <v>0</v>
      </c>
      <c r="AL30" s="332"/>
      <c r="AM30" s="332"/>
      <c r="AN30" s="332"/>
      <c r="AO30" s="332"/>
      <c r="AR30" s="331"/>
      <c r="BE30" s="335"/>
    </row>
    <row r="31" spans="2:71" s="330" customFormat="1" ht="14.45" hidden="1" customHeight="1">
      <c r="B31" s="331"/>
      <c r="F31" s="52" t="s">
        <v>421</v>
      </c>
      <c r="L31" s="334">
        <v>0.21</v>
      </c>
      <c r="M31" s="332"/>
      <c r="N31" s="332"/>
      <c r="O31" s="332"/>
      <c r="P31" s="332"/>
      <c r="W31" s="333">
        <f>ROUND(BB54, 2)</f>
        <v>0</v>
      </c>
      <c r="X31" s="332"/>
      <c r="Y31" s="332"/>
      <c r="Z31" s="332"/>
      <c r="AA31" s="332"/>
      <c r="AB31" s="332"/>
      <c r="AC31" s="332"/>
      <c r="AD31" s="332"/>
      <c r="AE31" s="332"/>
      <c r="AK31" s="333">
        <v>0</v>
      </c>
      <c r="AL31" s="332"/>
      <c r="AM31" s="332"/>
      <c r="AN31" s="332"/>
      <c r="AO31" s="332"/>
      <c r="AR31" s="331"/>
      <c r="BE31" s="335"/>
    </row>
    <row r="32" spans="2:71" s="330" customFormat="1" ht="14.45" hidden="1" customHeight="1">
      <c r="B32" s="331"/>
      <c r="F32" s="52" t="s">
        <v>420</v>
      </c>
      <c r="L32" s="334">
        <v>0.15</v>
      </c>
      <c r="M32" s="332"/>
      <c r="N32" s="332"/>
      <c r="O32" s="332"/>
      <c r="P32" s="332"/>
      <c r="W32" s="333">
        <f>ROUND(BC54, 2)</f>
        <v>0</v>
      </c>
      <c r="X32" s="332"/>
      <c r="Y32" s="332"/>
      <c r="Z32" s="332"/>
      <c r="AA32" s="332"/>
      <c r="AB32" s="332"/>
      <c r="AC32" s="332"/>
      <c r="AD32" s="332"/>
      <c r="AE32" s="332"/>
      <c r="AK32" s="333">
        <v>0</v>
      </c>
      <c r="AL32" s="332"/>
      <c r="AM32" s="332"/>
      <c r="AN32" s="332"/>
      <c r="AO32" s="332"/>
      <c r="AR32" s="331"/>
      <c r="BE32" s="335"/>
    </row>
    <row r="33" spans="2:44" s="330" customFormat="1" ht="14.45" hidden="1" customHeight="1">
      <c r="B33" s="331"/>
      <c r="F33" s="52" t="s">
        <v>419</v>
      </c>
      <c r="L33" s="334">
        <v>0</v>
      </c>
      <c r="M33" s="332"/>
      <c r="N33" s="332"/>
      <c r="O33" s="332"/>
      <c r="P33" s="332"/>
      <c r="W33" s="333">
        <f>ROUND(BD54, 2)</f>
        <v>0</v>
      </c>
      <c r="X33" s="332"/>
      <c r="Y33" s="332"/>
      <c r="Z33" s="332"/>
      <c r="AA33" s="332"/>
      <c r="AB33" s="332"/>
      <c r="AC33" s="332"/>
      <c r="AD33" s="332"/>
      <c r="AE33" s="332"/>
      <c r="AK33" s="333">
        <v>0</v>
      </c>
      <c r="AL33" s="332"/>
      <c r="AM33" s="332"/>
      <c r="AN33" s="332"/>
      <c r="AO33" s="332"/>
      <c r="AR33" s="331"/>
    </row>
    <row r="34" spans="2:44" s="2" customFormat="1" ht="6.95" customHeight="1">
      <c r="B34" s="3"/>
      <c r="AR34" s="3"/>
    </row>
    <row r="35" spans="2:44" s="2" customFormat="1" ht="25.9" customHeight="1">
      <c r="B35" s="3"/>
      <c r="C35" s="322"/>
      <c r="D35" s="329" t="s">
        <v>418</v>
      </c>
      <c r="E35" s="326"/>
      <c r="F35" s="326"/>
      <c r="G35" s="326"/>
      <c r="H35" s="326"/>
      <c r="I35" s="326"/>
      <c r="J35" s="326"/>
      <c r="K35" s="326"/>
      <c r="L35" s="326"/>
      <c r="M35" s="326"/>
      <c r="N35" s="326"/>
      <c r="O35" s="326"/>
      <c r="P35" s="326"/>
      <c r="Q35" s="326"/>
      <c r="R35" s="326"/>
      <c r="S35" s="326"/>
      <c r="T35" s="328" t="s">
        <v>417</v>
      </c>
      <c r="U35" s="326"/>
      <c r="V35" s="326"/>
      <c r="W35" s="326"/>
      <c r="X35" s="327" t="s">
        <v>416</v>
      </c>
      <c r="Y35" s="324"/>
      <c r="Z35" s="324"/>
      <c r="AA35" s="324"/>
      <c r="AB35" s="324"/>
      <c r="AC35" s="326"/>
      <c r="AD35" s="326"/>
      <c r="AE35" s="326"/>
      <c r="AF35" s="326"/>
      <c r="AG35" s="326"/>
      <c r="AH35" s="326"/>
      <c r="AI35" s="326"/>
      <c r="AJ35" s="326"/>
      <c r="AK35" s="325">
        <f>SUM(AK26:AK33)</f>
        <v>0</v>
      </c>
      <c r="AL35" s="324"/>
      <c r="AM35" s="324"/>
      <c r="AN35" s="324"/>
      <c r="AO35" s="323"/>
      <c r="AP35" s="322"/>
      <c r="AQ35" s="322"/>
      <c r="AR35" s="3"/>
    </row>
    <row r="36" spans="2:44" s="2" customFormat="1" ht="6.95" customHeight="1">
      <c r="B36" s="3"/>
      <c r="AR36" s="3"/>
    </row>
    <row r="37" spans="2:44" s="2" customFormat="1" ht="6.95" customHeight="1">
      <c r="B37" s="5"/>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3"/>
    </row>
    <row r="41" spans="2:44" s="2" customFormat="1" ht="6.95" customHeight="1">
      <c r="B41" s="57"/>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3"/>
    </row>
    <row r="42" spans="2:44" s="2" customFormat="1" ht="24.95" customHeight="1">
      <c r="B42" s="3"/>
      <c r="C42" s="55" t="s">
        <v>2673</v>
      </c>
      <c r="AR42" s="3"/>
    </row>
    <row r="43" spans="2:44" s="2" customFormat="1" ht="6.95" customHeight="1">
      <c r="B43" s="3"/>
      <c r="AR43" s="3"/>
    </row>
    <row r="44" spans="2:44" s="312" customFormat="1" ht="12" customHeight="1">
      <c r="B44" s="321"/>
      <c r="C44" s="52" t="s">
        <v>2672</v>
      </c>
      <c r="L44" s="312" t="str">
        <f>K5</f>
        <v>00249-2</v>
      </c>
      <c r="AR44" s="321"/>
    </row>
    <row r="45" spans="2:44" s="317" customFormat="1" ht="36.950000000000003" customHeight="1">
      <c r="B45" s="318"/>
      <c r="C45" s="320" t="s">
        <v>395</v>
      </c>
      <c r="L45" s="256" t="str">
        <f>K6</f>
        <v>Realizace úspor energie, areál NPK, a.s. Správní budova v Litomyšli - rekuperace (aktualizace 08/2022)</v>
      </c>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19"/>
      <c r="AL45" s="319"/>
      <c r="AM45" s="319"/>
      <c r="AN45" s="319"/>
      <c r="AO45" s="319"/>
      <c r="AR45" s="318"/>
    </row>
    <row r="46" spans="2:44" s="2" customFormat="1" ht="6.95" customHeight="1">
      <c r="B46" s="3"/>
      <c r="AR46" s="3"/>
    </row>
    <row r="47" spans="2:44" s="2" customFormat="1" ht="12" customHeight="1">
      <c r="B47" s="3"/>
      <c r="C47" s="52" t="s">
        <v>393</v>
      </c>
      <c r="L47" s="316" t="str">
        <f>IF(K8="","",K8)</f>
        <v>Litomyšl</v>
      </c>
      <c r="AI47" s="52" t="s">
        <v>392</v>
      </c>
      <c r="AM47" s="315" t="str">
        <f>IF(AN8= "","",AN8)</f>
        <v>1. 8. 2022</v>
      </c>
      <c r="AN47" s="315"/>
      <c r="AR47" s="3"/>
    </row>
    <row r="48" spans="2:44" s="2" customFormat="1" ht="6.95" customHeight="1">
      <c r="B48" s="3"/>
      <c r="AR48" s="3"/>
    </row>
    <row r="49" spans="1:91" s="2" customFormat="1" ht="40.15" customHeight="1">
      <c r="B49" s="3"/>
      <c r="C49" s="52" t="s">
        <v>391</v>
      </c>
      <c r="L49" s="312" t="str">
        <f>IF(E11= "","",E11)</f>
        <v>Pardubický kraj,Komenského n.125,532 11 Pardubice</v>
      </c>
      <c r="AI49" s="52" t="s">
        <v>390</v>
      </c>
      <c r="AM49" s="311" t="str">
        <f>IF(E17="","",E17)</f>
        <v>KIP s.r.o.Litomyšl projektant části:Ing.LiborSauer</v>
      </c>
      <c r="AN49" s="310"/>
      <c r="AO49" s="310"/>
      <c r="AP49" s="310"/>
      <c r="AR49" s="3"/>
      <c r="AS49" s="314" t="s">
        <v>2671</v>
      </c>
      <c r="AT49" s="313"/>
      <c r="AU49" s="38"/>
      <c r="AV49" s="38"/>
      <c r="AW49" s="38"/>
      <c r="AX49" s="38"/>
      <c r="AY49" s="38"/>
      <c r="AZ49" s="38"/>
      <c r="BA49" s="38"/>
      <c r="BB49" s="38"/>
      <c r="BC49" s="38"/>
      <c r="BD49" s="302"/>
    </row>
    <row r="50" spans="1:91" s="2" customFormat="1" ht="15.2" customHeight="1">
      <c r="B50" s="3"/>
      <c r="C50" s="52" t="s">
        <v>389</v>
      </c>
      <c r="L50" s="312" t="str">
        <f>IF(E14= "Vyplň údaj","",E14)</f>
        <v/>
      </c>
      <c r="AI50" s="52" t="s">
        <v>388</v>
      </c>
      <c r="AM50" s="311" t="str">
        <f>IF(E20="","",E20)</f>
        <v xml:space="preserve"> </v>
      </c>
      <c r="AN50" s="310"/>
      <c r="AO50" s="310"/>
      <c r="AP50" s="310"/>
      <c r="AR50" s="3"/>
      <c r="AS50" s="309"/>
      <c r="AT50" s="308"/>
      <c r="BD50" s="99"/>
    </row>
    <row r="51" spans="1:91" s="2" customFormat="1" ht="10.9" customHeight="1">
      <c r="B51" s="3"/>
      <c r="AR51" s="3"/>
      <c r="AS51" s="309"/>
      <c r="AT51" s="308"/>
      <c r="BD51" s="99"/>
    </row>
    <row r="52" spans="1:91" s="2" customFormat="1" ht="29.25" customHeight="1">
      <c r="B52" s="3"/>
      <c r="C52" s="307" t="s">
        <v>385</v>
      </c>
      <c r="D52" s="304"/>
      <c r="E52" s="304"/>
      <c r="F52" s="304"/>
      <c r="G52" s="304"/>
      <c r="H52" s="77"/>
      <c r="I52" s="305" t="s">
        <v>384</v>
      </c>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6" t="s">
        <v>2670</v>
      </c>
      <c r="AH52" s="304"/>
      <c r="AI52" s="304"/>
      <c r="AJ52" s="304"/>
      <c r="AK52" s="304"/>
      <c r="AL52" s="304"/>
      <c r="AM52" s="304"/>
      <c r="AN52" s="305" t="s">
        <v>2669</v>
      </c>
      <c r="AO52" s="304"/>
      <c r="AP52" s="304"/>
      <c r="AQ52" s="303" t="s">
        <v>386</v>
      </c>
      <c r="AR52" s="3"/>
      <c r="AS52" s="46" t="s">
        <v>2668</v>
      </c>
      <c r="AT52" s="45" t="s">
        <v>2667</v>
      </c>
      <c r="AU52" s="45" t="s">
        <v>2666</v>
      </c>
      <c r="AV52" s="45" t="s">
        <v>2665</v>
      </c>
      <c r="AW52" s="45" t="s">
        <v>2664</v>
      </c>
      <c r="AX52" s="45" t="s">
        <v>2663</v>
      </c>
      <c r="AY52" s="45" t="s">
        <v>2662</v>
      </c>
      <c r="AZ52" s="45" t="s">
        <v>2661</v>
      </c>
      <c r="BA52" s="45" t="s">
        <v>2660</v>
      </c>
      <c r="BB52" s="45" t="s">
        <v>2659</v>
      </c>
      <c r="BC52" s="45" t="s">
        <v>2658</v>
      </c>
      <c r="BD52" s="44" t="s">
        <v>2657</v>
      </c>
    </row>
    <row r="53" spans="1:91" s="2" customFormat="1" ht="10.9" customHeight="1">
      <c r="B53" s="3"/>
      <c r="AR53" s="3"/>
      <c r="AS53" s="40"/>
      <c r="AT53" s="38"/>
      <c r="AU53" s="38"/>
      <c r="AV53" s="38"/>
      <c r="AW53" s="38"/>
      <c r="AX53" s="38"/>
      <c r="AY53" s="38"/>
      <c r="AZ53" s="38"/>
      <c r="BA53" s="38"/>
      <c r="BB53" s="38"/>
      <c r="BC53" s="38"/>
      <c r="BD53" s="302"/>
    </row>
    <row r="54" spans="1:91" s="290" customFormat="1" ht="32.450000000000003" customHeight="1">
      <c r="B54" s="297"/>
      <c r="C54" s="42" t="s">
        <v>1277</v>
      </c>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0">
        <f>ROUND(AG55,2)</f>
        <v>0</v>
      </c>
      <c r="AH54" s="300"/>
      <c r="AI54" s="300"/>
      <c r="AJ54" s="300"/>
      <c r="AK54" s="300"/>
      <c r="AL54" s="300"/>
      <c r="AM54" s="300"/>
      <c r="AN54" s="299">
        <f>SUM(AG54,AT54)</f>
        <v>0</v>
      </c>
      <c r="AO54" s="299"/>
      <c r="AP54" s="299"/>
      <c r="AQ54" s="298" t="s">
        <v>6</v>
      </c>
      <c r="AR54" s="297"/>
      <c r="AS54" s="296">
        <f>ROUND(AS55,2)</f>
        <v>0</v>
      </c>
      <c r="AT54" s="294">
        <f>ROUND(SUM(AV54:AW54),2)</f>
        <v>0</v>
      </c>
      <c r="AU54" s="295">
        <f>ROUND(AU55,5)</f>
        <v>0</v>
      </c>
      <c r="AV54" s="294">
        <f>ROUND(AZ54*L29,2)</f>
        <v>0</v>
      </c>
      <c r="AW54" s="294">
        <f>ROUND(BA54*L30,2)</f>
        <v>0</v>
      </c>
      <c r="AX54" s="294">
        <f>ROUND(BB54*L29,2)</f>
        <v>0</v>
      </c>
      <c r="AY54" s="294">
        <f>ROUND(BC54*L30,2)</f>
        <v>0</v>
      </c>
      <c r="AZ54" s="294">
        <f>ROUND(AZ55,2)</f>
        <v>0</v>
      </c>
      <c r="BA54" s="294">
        <f>ROUND(BA55,2)</f>
        <v>0</v>
      </c>
      <c r="BB54" s="294">
        <f>ROUND(BB55,2)</f>
        <v>0</v>
      </c>
      <c r="BC54" s="294">
        <f>ROUND(BC55,2)</f>
        <v>0</v>
      </c>
      <c r="BD54" s="293">
        <f>ROUND(BD55,2)</f>
        <v>0</v>
      </c>
      <c r="BS54" s="291" t="s">
        <v>26</v>
      </c>
      <c r="BT54" s="291" t="s">
        <v>25</v>
      </c>
      <c r="BU54" s="292" t="s">
        <v>2656</v>
      </c>
      <c r="BV54" s="291" t="s">
        <v>2651</v>
      </c>
      <c r="BW54" s="291" t="s">
        <v>2650</v>
      </c>
      <c r="BX54" s="291" t="s">
        <v>2655</v>
      </c>
      <c r="CL54" s="291" t="s">
        <v>6</v>
      </c>
    </row>
    <row r="55" spans="1:91" s="276" customFormat="1" ht="16.5" customHeight="1">
      <c r="A55" s="289" t="s">
        <v>2654</v>
      </c>
      <c r="B55" s="282"/>
      <c r="C55" s="288"/>
      <c r="D55" s="286" t="s">
        <v>1311</v>
      </c>
      <c r="E55" s="286"/>
      <c r="F55" s="286"/>
      <c r="G55" s="286"/>
      <c r="H55" s="286"/>
      <c r="I55" s="287"/>
      <c r="J55" s="286" t="s">
        <v>2653</v>
      </c>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5">
        <f>'D.1.4.3 - Zařízení vzduch...'!J30</f>
        <v>0</v>
      </c>
      <c r="AH55" s="284"/>
      <c r="AI55" s="284"/>
      <c r="AJ55" s="284"/>
      <c r="AK55" s="284"/>
      <c r="AL55" s="284"/>
      <c r="AM55" s="284"/>
      <c r="AN55" s="285">
        <f>SUM(AG55,AT55)</f>
        <v>0</v>
      </c>
      <c r="AO55" s="284"/>
      <c r="AP55" s="284"/>
      <c r="AQ55" s="283" t="s">
        <v>2652</v>
      </c>
      <c r="AR55" s="282"/>
      <c r="AS55" s="281">
        <v>0</v>
      </c>
      <c r="AT55" s="279">
        <f>ROUND(SUM(AV55:AW55),2)</f>
        <v>0</v>
      </c>
      <c r="AU55" s="280">
        <f>'D.1.4.3 - Zařízení vzduch...'!P91</f>
        <v>0</v>
      </c>
      <c r="AV55" s="279">
        <f>'D.1.4.3 - Zařízení vzduch...'!J33</f>
        <v>0</v>
      </c>
      <c r="AW55" s="279">
        <f>'D.1.4.3 - Zařízení vzduch...'!J34</f>
        <v>0</v>
      </c>
      <c r="AX55" s="279">
        <f>'D.1.4.3 - Zařízení vzduch...'!J35</f>
        <v>0</v>
      </c>
      <c r="AY55" s="279">
        <f>'D.1.4.3 - Zařízení vzduch...'!J36</f>
        <v>0</v>
      </c>
      <c r="AZ55" s="279">
        <f>'D.1.4.3 - Zařízení vzduch...'!F33</f>
        <v>0</v>
      </c>
      <c r="BA55" s="279">
        <f>'D.1.4.3 - Zařízení vzduch...'!F34</f>
        <v>0</v>
      </c>
      <c r="BB55" s="279">
        <f>'D.1.4.3 - Zařízení vzduch...'!F35</f>
        <v>0</v>
      </c>
      <c r="BC55" s="279">
        <f>'D.1.4.3 - Zařízení vzduch...'!F36</f>
        <v>0</v>
      </c>
      <c r="BD55" s="278">
        <f>'D.1.4.3 - Zařízení vzduch...'!F37</f>
        <v>0</v>
      </c>
      <c r="BT55" s="277" t="s">
        <v>2</v>
      </c>
      <c r="BV55" s="277" t="s">
        <v>2651</v>
      </c>
      <c r="BW55" s="277" t="s">
        <v>2649</v>
      </c>
      <c r="BX55" s="277" t="s">
        <v>2650</v>
      </c>
      <c r="CL55" s="277" t="s">
        <v>1280</v>
      </c>
      <c r="CM55" s="277" t="s">
        <v>365</v>
      </c>
    </row>
    <row r="56" spans="1:91" s="2" customFormat="1" ht="30" customHeight="1">
      <c r="B56" s="3"/>
      <c r="AR56" s="3"/>
    </row>
    <row r="57" spans="1:91" s="2" customFormat="1" ht="6.95" customHeight="1">
      <c r="B57" s="5"/>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3"/>
    </row>
  </sheetData>
  <sheetProtection algorithmName="SHA-512" hashValue="/RQ62Gegb3XutaSxhTOcTOzniGegPe8eQGy8S0B/w20/UPRzERc8gmiowr6QbICHFtxXOcfiqlwO1vyRQMDYHg==" saltValue="mFLoOB10DCM8QmMrdsjlfGyHpHYQ5JlaMWJBkH/5liH+tIXQi+A1Mm63OKDlt53yzLyKl7w/VpUJdAbtxA+zdg==" spinCount="100000" sheet="1" objects="1" scenarios="1" formatColumns="0" formatRows="0"/>
  <mergeCells count="42">
    <mergeCell ref="AK29:AO29"/>
    <mergeCell ref="L29:P29"/>
    <mergeCell ref="W30:AE30"/>
    <mergeCell ref="AK30:AO30"/>
    <mergeCell ref="L30:P30"/>
    <mergeCell ref="W31:AE31"/>
    <mergeCell ref="BE5:BE32"/>
    <mergeCell ref="K5:AO5"/>
    <mergeCell ref="K6:AO6"/>
    <mergeCell ref="E14:AJ14"/>
    <mergeCell ref="E23:AN23"/>
    <mergeCell ref="AK26:AO26"/>
    <mergeCell ref="L28:P28"/>
    <mergeCell ref="W28:AE28"/>
    <mergeCell ref="AK28:AO28"/>
    <mergeCell ref="W29:AE29"/>
    <mergeCell ref="W33:AE33"/>
    <mergeCell ref="AK33:AO33"/>
    <mergeCell ref="L33:P33"/>
    <mergeCell ref="X35:AB35"/>
    <mergeCell ref="AK35:AO35"/>
    <mergeCell ref="AK31:AO31"/>
    <mergeCell ref="L31:P31"/>
    <mergeCell ref="W32:AE32"/>
    <mergeCell ref="AK32:AO32"/>
    <mergeCell ref="L32:P32"/>
    <mergeCell ref="AN54:AP54"/>
    <mergeCell ref="L45:AO45"/>
    <mergeCell ref="AM47:AN47"/>
    <mergeCell ref="AM49:AP49"/>
    <mergeCell ref="AS49:AT51"/>
    <mergeCell ref="AM50:AP50"/>
    <mergeCell ref="AR2:BE2"/>
    <mergeCell ref="C52:G52"/>
    <mergeCell ref="I52:AF52"/>
    <mergeCell ref="AG52:AM52"/>
    <mergeCell ref="AN52:AP52"/>
    <mergeCell ref="AN55:AP55"/>
    <mergeCell ref="AG55:AM55"/>
    <mergeCell ref="D55:H55"/>
    <mergeCell ref="J55:AF55"/>
    <mergeCell ref="AG54:AM54"/>
  </mergeCells>
  <hyperlinks>
    <hyperlink ref="A55" location="'D.1.4.3 - Zařízení vzduch...'!C2" display="/" xr:uid="{7642CFB5-9FF2-4D27-81FB-DB638B1B16F1}"/>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0D9EA-4533-4DAC-A7EB-15B6981A07C0}">
  <sheetPr>
    <pageSetUpPr fitToPage="1"/>
  </sheetPr>
  <dimension ref="B2:BM572"/>
  <sheetViews>
    <sheetView showGridLines="0" workbookViewId="0">
      <selection activeCell="E7" sqref="E7:H7"/>
    </sheetView>
  </sheetViews>
  <sheetFormatPr defaultRowHeight="11.25"/>
  <cols>
    <col min="1" max="1" width="7.140625" style="1" customWidth="1"/>
    <col min="2" max="2" width="1" style="1" customWidth="1"/>
    <col min="3" max="3" width="3.5703125" style="1" customWidth="1"/>
    <col min="4" max="4" width="3.7109375" style="1" customWidth="1"/>
    <col min="5" max="5" width="14.7109375" style="1" customWidth="1"/>
    <col min="6" max="6" width="86.42578125" style="1" customWidth="1"/>
    <col min="7" max="7" width="6.42578125" style="1" customWidth="1"/>
    <col min="8" max="8" width="12" style="1" customWidth="1"/>
    <col min="9" max="9" width="13.5703125" style="1" customWidth="1"/>
    <col min="10" max="11" width="19.140625" style="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c r="L2" s="260"/>
      <c r="M2" s="260"/>
      <c r="N2" s="260"/>
      <c r="O2" s="260"/>
      <c r="P2" s="260"/>
      <c r="Q2" s="260"/>
      <c r="R2" s="260"/>
      <c r="S2" s="260"/>
      <c r="T2" s="260"/>
      <c r="U2" s="260"/>
      <c r="V2" s="260"/>
      <c r="AT2" s="7" t="s">
        <v>2649</v>
      </c>
    </row>
    <row r="3" spans="2:46" ht="6.95" customHeight="1">
      <c r="B3" s="91"/>
      <c r="C3" s="90"/>
      <c r="D3" s="90"/>
      <c r="E3" s="90"/>
      <c r="F3" s="90"/>
      <c r="G3" s="90"/>
      <c r="H3" s="90"/>
      <c r="I3" s="90"/>
      <c r="J3" s="90"/>
      <c r="K3" s="90"/>
      <c r="L3" s="72"/>
      <c r="AT3" s="7" t="s">
        <v>365</v>
      </c>
    </row>
    <row r="4" spans="2:46" ht="24.95" customHeight="1">
      <c r="B4" s="72"/>
      <c r="D4" s="55" t="s">
        <v>440</v>
      </c>
      <c r="L4" s="72"/>
      <c r="M4" s="89" t="s">
        <v>439</v>
      </c>
      <c r="AT4" s="7" t="s">
        <v>438</v>
      </c>
    </row>
    <row r="5" spans="2:46" ht="6.95" customHeight="1">
      <c r="B5" s="72"/>
      <c r="L5" s="72"/>
    </row>
    <row r="6" spans="2:46" ht="12" customHeight="1">
      <c r="B6" s="72"/>
      <c r="D6" s="52" t="s">
        <v>395</v>
      </c>
      <c r="L6" s="72"/>
    </row>
    <row r="7" spans="2:46" ht="16.5" customHeight="1">
      <c r="B7" s="72"/>
      <c r="E7" s="258" t="str">
        <f>'Rekapitulace stavby'!K6</f>
        <v>Realizace úspor energie, areál NPK, a.s. Správní budova v Litomyšli - rekuperace (aktualizace 08/2022)</v>
      </c>
      <c r="F7" s="259"/>
      <c r="G7" s="259"/>
      <c r="H7" s="259"/>
      <c r="L7" s="72"/>
    </row>
    <row r="8" spans="2:46" s="2" customFormat="1" ht="12" customHeight="1">
      <c r="B8" s="3"/>
      <c r="D8" s="52" t="s">
        <v>394</v>
      </c>
      <c r="L8" s="3"/>
    </row>
    <row r="9" spans="2:46" s="2" customFormat="1" ht="16.5" customHeight="1">
      <c r="B9" s="3"/>
      <c r="E9" s="256" t="s">
        <v>2648</v>
      </c>
      <c r="F9" s="257"/>
      <c r="G9" s="257"/>
      <c r="H9" s="257"/>
      <c r="L9" s="3"/>
    </row>
    <row r="10" spans="2:46" s="2" customFormat="1">
      <c r="B10" s="3"/>
      <c r="L10" s="3"/>
    </row>
    <row r="11" spans="2:46" s="2" customFormat="1" ht="12" customHeight="1">
      <c r="B11" s="3"/>
      <c r="D11" s="52" t="s">
        <v>436</v>
      </c>
      <c r="F11" s="53" t="s">
        <v>1280</v>
      </c>
      <c r="I11" s="52" t="s">
        <v>435</v>
      </c>
      <c r="J11" s="53" t="s">
        <v>6</v>
      </c>
      <c r="L11" s="3"/>
    </row>
    <row r="12" spans="2:46" s="2" customFormat="1" ht="12" customHeight="1">
      <c r="B12" s="3"/>
      <c r="D12" s="52" t="s">
        <v>393</v>
      </c>
      <c r="F12" s="53" t="s">
        <v>434</v>
      </c>
      <c r="I12" s="52" t="s">
        <v>392</v>
      </c>
      <c r="J12" s="54" t="str">
        <f>'Rekapitulace stavby'!AN8</f>
        <v>1. 8. 2022</v>
      </c>
      <c r="L12" s="3"/>
    </row>
    <row r="13" spans="2:46" s="2" customFormat="1" ht="10.9" customHeight="1">
      <c r="B13" s="3"/>
      <c r="L13" s="3"/>
    </row>
    <row r="14" spans="2:46" s="2" customFormat="1" ht="12" customHeight="1">
      <c r="B14" s="3"/>
      <c r="D14" s="52" t="s">
        <v>391</v>
      </c>
      <c r="I14" s="52" t="s">
        <v>429</v>
      </c>
      <c r="J14" s="53" t="s">
        <v>6</v>
      </c>
      <c r="L14" s="3"/>
    </row>
    <row r="15" spans="2:46" s="2" customFormat="1" ht="18" customHeight="1">
      <c r="B15" s="3"/>
      <c r="E15" s="53" t="s">
        <v>433</v>
      </c>
      <c r="I15" s="52" t="s">
        <v>428</v>
      </c>
      <c r="J15" s="53" t="s">
        <v>6</v>
      </c>
      <c r="L15" s="3"/>
    </row>
    <row r="16" spans="2:46" s="2" customFormat="1" ht="6.95" customHeight="1">
      <c r="B16" s="3"/>
      <c r="L16" s="3"/>
    </row>
    <row r="17" spans="2:12" s="2" customFormat="1" ht="12" customHeight="1">
      <c r="B17" s="3"/>
      <c r="D17" s="52" t="s">
        <v>389</v>
      </c>
      <c r="I17" s="52" t="s">
        <v>429</v>
      </c>
      <c r="J17" s="88" t="str">
        <f>'Rekapitulace stavby'!AN13</f>
        <v>Vyplň údaj</v>
      </c>
      <c r="L17" s="3"/>
    </row>
    <row r="18" spans="2:12" s="2" customFormat="1" ht="18" customHeight="1">
      <c r="B18" s="3"/>
      <c r="E18" s="261" t="str">
        <f>'Rekapitulace stavby'!E14</f>
        <v>Vyplň údaj</v>
      </c>
      <c r="F18" s="262"/>
      <c r="G18" s="262"/>
      <c r="H18" s="262"/>
      <c r="I18" s="52" t="s">
        <v>428</v>
      </c>
      <c r="J18" s="88" t="str">
        <f>'Rekapitulace stavby'!AN14</f>
        <v>Vyplň údaj</v>
      </c>
      <c r="L18" s="3"/>
    </row>
    <row r="19" spans="2:12" s="2" customFormat="1" ht="6.95" customHeight="1">
      <c r="B19" s="3"/>
      <c r="L19" s="3"/>
    </row>
    <row r="20" spans="2:12" s="2" customFormat="1" ht="12" customHeight="1">
      <c r="B20" s="3"/>
      <c r="D20" s="52" t="s">
        <v>390</v>
      </c>
      <c r="I20" s="52" t="s">
        <v>429</v>
      </c>
      <c r="J20" s="53" t="s">
        <v>6</v>
      </c>
      <c r="L20" s="3"/>
    </row>
    <row r="21" spans="2:12" s="2" customFormat="1" ht="18" customHeight="1">
      <c r="B21" s="3"/>
      <c r="E21" s="53" t="s">
        <v>1279</v>
      </c>
      <c r="I21" s="52" t="s">
        <v>428</v>
      </c>
      <c r="J21" s="53" t="s">
        <v>6</v>
      </c>
      <c r="L21" s="3"/>
    </row>
    <row r="22" spans="2:12" s="2" customFormat="1" ht="6.95" customHeight="1">
      <c r="B22" s="3"/>
      <c r="L22" s="3"/>
    </row>
    <row r="23" spans="2:12" s="2" customFormat="1" ht="12" customHeight="1">
      <c r="B23" s="3"/>
      <c r="D23" s="52" t="s">
        <v>388</v>
      </c>
      <c r="I23" s="52" t="s">
        <v>429</v>
      </c>
      <c r="J23" s="53" t="str">
        <f>IF('Rekapitulace stavby'!AN19="","",'Rekapitulace stavby'!AN19)</f>
        <v/>
      </c>
      <c r="L23" s="3"/>
    </row>
    <row r="24" spans="2:12" s="2" customFormat="1" ht="18" customHeight="1">
      <c r="B24" s="3"/>
      <c r="E24" s="53" t="str">
        <f>IF('Rekapitulace stavby'!E20="","",'Rekapitulace stavby'!E20)</f>
        <v xml:space="preserve"> </v>
      </c>
      <c r="I24" s="52" t="s">
        <v>428</v>
      </c>
      <c r="J24" s="53" t="str">
        <f>IF('Rekapitulace stavby'!AN20="","",'Rekapitulace stavby'!AN20)</f>
        <v/>
      </c>
      <c r="L24" s="3"/>
    </row>
    <row r="25" spans="2:12" s="2" customFormat="1" ht="6.95" customHeight="1">
      <c r="B25" s="3"/>
      <c r="L25" s="3"/>
    </row>
    <row r="26" spans="2:12" s="2" customFormat="1" ht="12" customHeight="1">
      <c r="B26" s="3"/>
      <c r="D26" s="52" t="s">
        <v>427</v>
      </c>
      <c r="L26" s="3"/>
    </row>
    <row r="27" spans="2:12" s="86" customFormat="1" ht="16.5" customHeight="1">
      <c r="B27" s="87"/>
      <c r="E27" s="263" t="s">
        <v>2647</v>
      </c>
      <c r="F27" s="263"/>
      <c r="G27" s="263"/>
      <c r="H27" s="263"/>
      <c r="L27" s="87"/>
    </row>
    <row r="28" spans="2:12" s="2" customFormat="1" ht="6.95" customHeight="1">
      <c r="B28" s="3"/>
      <c r="L28" s="3"/>
    </row>
    <row r="29" spans="2:12" s="2" customFormat="1" ht="6.95" customHeight="1">
      <c r="B29" s="3"/>
      <c r="D29" s="38"/>
      <c r="E29" s="38"/>
      <c r="F29" s="38"/>
      <c r="G29" s="38"/>
      <c r="H29" s="38"/>
      <c r="I29" s="38"/>
      <c r="J29" s="38"/>
      <c r="K29" s="38"/>
      <c r="L29" s="3"/>
    </row>
    <row r="30" spans="2:12" s="2" customFormat="1" ht="25.35" customHeight="1">
      <c r="B30" s="3"/>
      <c r="D30" s="85" t="s">
        <v>426</v>
      </c>
      <c r="J30" s="63">
        <f>ROUND(J91, 2)</f>
        <v>0</v>
      </c>
      <c r="L30" s="3"/>
    </row>
    <row r="31" spans="2:12" s="2" customFormat="1" ht="6.95" customHeight="1">
      <c r="B31" s="3"/>
      <c r="D31" s="38"/>
      <c r="E31" s="38"/>
      <c r="F31" s="38"/>
      <c r="G31" s="38"/>
      <c r="H31" s="38"/>
      <c r="I31" s="38"/>
      <c r="J31" s="38"/>
      <c r="K31" s="38"/>
      <c r="L31" s="3"/>
    </row>
    <row r="32" spans="2:12" s="2" customFormat="1" ht="14.45" customHeight="1">
      <c r="B32" s="3"/>
      <c r="F32" s="84" t="s">
        <v>425</v>
      </c>
      <c r="I32" s="84" t="s">
        <v>424</v>
      </c>
      <c r="J32" s="84" t="s">
        <v>423</v>
      </c>
      <c r="L32" s="3"/>
    </row>
    <row r="33" spans="2:12" s="2" customFormat="1" ht="14.45" customHeight="1">
      <c r="B33" s="3"/>
      <c r="D33" s="83" t="s">
        <v>378</v>
      </c>
      <c r="E33" s="52" t="s">
        <v>5</v>
      </c>
      <c r="F33" s="81">
        <f>ROUND((SUM(BE91:BE571)),  2)</f>
        <v>0</v>
      </c>
      <c r="I33" s="82">
        <v>0.21</v>
      </c>
      <c r="J33" s="81">
        <f>ROUND(((SUM(BE91:BE571))*I33),  2)</f>
        <v>0</v>
      </c>
      <c r="L33" s="3"/>
    </row>
    <row r="34" spans="2:12" s="2" customFormat="1" ht="14.45" customHeight="1">
      <c r="B34" s="3"/>
      <c r="E34" s="52" t="s">
        <v>422</v>
      </c>
      <c r="F34" s="81">
        <f>ROUND((SUM(BF91:BF571)),  2)</f>
        <v>0</v>
      </c>
      <c r="I34" s="82">
        <v>0.15</v>
      </c>
      <c r="J34" s="81">
        <f>ROUND(((SUM(BF91:BF571))*I34),  2)</f>
        <v>0</v>
      </c>
      <c r="L34" s="3"/>
    </row>
    <row r="35" spans="2:12" s="2" customFormat="1" ht="14.45" hidden="1" customHeight="1">
      <c r="B35" s="3"/>
      <c r="E35" s="52" t="s">
        <v>421</v>
      </c>
      <c r="F35" s="81">
        <f>ROUND((SUM(BG91:BG571)),  2)</f>
        <v>0</v>
      </c>
      <c r="I35" s="82">
        <v>0.21</v>
      </c>
      <c r="J35" s="81">
        <f>0</f>
        <v>0</v>
      </c>
      <c r="L35" s="3"/>
    </row>
    <row r="36" spans="2:12" s="2" customFormat="1" ht="14.45" hidden="1" customHeight="1">
      <c r="B36" s="3"/>
      <c r="E36" s="52" t="s">
        <v>420</v>
      </c>
      <c r="F36" s="81">
        <f>ROUND((SUM(BH91:BH571)),  2)</f>
        <v>0</v>
      </c>
      <c r="I36" s="82">
        <v>0.15</v>
      </c>
      <c r="J36" s="81">
        <f>0</f>
        <v>0</v>
      </c>
      <c r="L36" s="3"/>
    </row>
    <row r="37" spans="2:12" s="2" customFormat="1" ht="14.45" hidden="1" customHeight="1">
      <c r="B37" s="3"/>
      <c r="E37" s="52" t="s">
        <v>419</v>
      </c>
      <c r="F37" s="81">
        <f>ROUND((SUM(BI91:BI571)),  2)</f>
        <v>0</v>
      </c>
      <c r="I37" s="82">
        <v>0</v>
      </c>
      <c r="J37" s="81">
        <f>0</f>
        <v>0</v>
      </c>
      <c r="L37" s="3"/>
    </row>
    <row r="38" spans="2:12" s="2" customFormat="1" ht="6.95" customHeight="1">
      <c r="B38" s="3"/>
      <c r="L38" s="3"/>
    </row>
    <row r="39" spans="2:12" s="2" customFormat="1" ht="25.35" customHeight="1">
      <c r="B39" s="3"/>
      <c r="C39" s="65"/>
      <c r="D39" s="80" t="s">
        <v>418</v>
      </c>
      <c r="E39" s="77"/>
      <c r="F39" s="77"/>
      <c r="G39" s="79" t="s">
        <v>417</v>
      </c>
      <c r="H39" s="78" t="s">
        <v>416</v>
      </c>
      <c r="I39" s="77"/>
      <c r="J39" s="76">
        <f>SUM(J30:J37)</f>
        <v>0</v>
      </c>
      <c r="K39" s="75"/>
      <c r="L39" s="3"/>
    </row>
    <row r="40" spans="2:12" s="2" customFormat="1" ht="14.45" customHeight="1">
      <c r="B40" s="5"/>
      <c r="C40" s="4"/>
      <c r="D40" s="4"/>
      <c r="E40" s="4"/>
      <c r="F40" s="4"/>
      <c r="G40" s="4"/>
      <c r="H40" s="4"/>
      <c r="I40" s="4"/>
      <c r="J40" s="4"/>
      <c r="K40" s="4"/>
      <c r="L40" s="3"/>
    </row>
    <row r="44" spans="2:12" s="2" customFormat="1" ht="6.95" customHeight="1">
      <c r="B44" s="57"/>
      <c r="C44" s="56"/>
      <c r="D44" s="56"/>
      <c r="E44" s="56"/>
      <c r="F44" s="56"/>
      <c r="G44" s="56"/>
      <c r="H44" s="56"/>
      <c r="I44" s="56"/>
      <c r="J44" s="56"/>
      <c r="K44" s="56"/>
      <c r="L44" s="3"/>
    </row>
    <row r="45" spans="2:12" s="2" customFormat="1" ht="24.95" customHeight="1">
      <c r="B45" s="3"/>
      <c r="C45" s="55" t="s">
        <v>409</v>
      </c>
      <c r="L45" s="3"/>
    </row>
    <row r="46" spans="2:12" s="2" customFormat="1" ht="6.95" customHeight="1">
      <c r="B46" s="3"/>
      <c r="L46" s="3"/>
    </row>
    <row r="47" spans="2:12" s="2" customFormat="1" ht="12" customHeight="1">
      <c r="B47" s="3"/>
      <c r="C47" s="52" t="s">
        <v>395</v>
      </c>
      <c r="L47" s="3"/>
    </row>
    <row r="48" spans="2:12" s="2" customFormat="1" ht="16.5" customHeight="1">
      <c r="B48" s="3"/>
      <c r="E48" s="258" t="str">
        <f>E7</f>
        <v>Realizace úspor energie, areál NPK, a.s. Správní budova v Litomyšli - rekuperace (aktualizace 08/2022)</v>
      </c>
      <c r="F48" s="259"/>
      <c r="G48" s="259"/>
      <c r="H48" s="259"/>
      <c r="L48" s="3"/>
    </row>
    <row r="49" spans="2:47" s="2" customFormat="1" ht="12" customHeight="1">
      <c r="B49" s="3"/>
      <c r="C49" s="52" t="s">
        <v>394</v>
      </c>
      <c r="L49" s="3"/>
    </row>
    <row r="50" spans="2:47" s="2" customFormat="1" ht="16.5" customHeight="1">
      <c r="B50" s="3"/>
      <c r="E50" s="256" t="str">
        <f>E9</f>
        <v>D.1.4.3 - Zařízení vzduchotechniky a chlazení</v>
      </c>
      <c r="F50" s="257"/>
      <c r="G50" s="257"/>
      <c r="H50" s="257"/>
      <c r="L50" s="3"/>
    </row>
    <row r="51" spans="2:47" s="2" customFormat="1" ht="6.95" customHeight="1">
      <c r="B51" s="3"/>
      <c r="L51" s="3"/>
    </row>
    <row r="52" spans="2:47" s="2" customFormat="1" ht="12" customHeight="1">
      <c r="B52" s="3"/>
      <c r="C52" s="52" t="s">
        <v>393</v>
      </c>
      <c r="F52" s="53" t="str">
        <f>F12</f>
        <v>Litomyšl</v>
      </c>
      <c r="I52" s="52" t="s">
        <v>392</v>
      </c>
      <c r="J52" s="54" t="str">
        <f>IF(J12="","",J12)</f>
        <v>1. 8. 2022</v>
      </c>
      <c r="L52" s="3"/>
    </row>
    <row r="53" spans="2:47" s="2" customFormat="1" ht="6.95" customHeight="1">
      <c r="B53" s="3"/>
      <c r="L53" s="3"/>
    </row>
    <row r="54" spans="2:47" s="2" customFormat="1" ht="40.15" customHeight="1">
      <c r="B54" s="3"/>
      <c r="C54" s="52" t="s">
        <v>391</v>
      </c>
      <c r="F54" s="53" t="str">
        <f>E15</f>
        <v>Pardubický kraj,Komenského n.125,532 11 Pardubice</v>
      </c>
      <c r="I54" s="52" t="s">
        <v>390</v>
      </c>
      <c r="J54" s="51" t="str">
        <f>E21</f>
        <v>KIP s.r.o.Litomyšl projektant části:Ing.LiborSauer</v>
      </c>
      <c r="L54" s="3"/>
    </row>
    <row r="55" spans="2:47" s="2" customFormat="1" ht="15.2" customHeight="1">
      <c r="B55" s="3"/>
      <c r="C55" s="52" t="s">
        <v>389</v>
      </c>
      <c r="F55" s="53" t="str">
        <f>IF(E18="","",E18)</f>
        <v>Vyplň údaj</v>
      </c>
      <c r="I55" s="52" t="s">
        <v>388</v>
      </c>
      <c r="J55" s="51" t="str">
        <f>E24</f>
        <v xml:space="preserve"> </v>
      </c>
      <c r="L55" s="3"/>
    </row>
    <row r="56" spans="2:47" s="2" customFormat="1" ht="10.35" customHeight="1">
      <c r="B56" s="3"/>
      <c r="L56" s="3"/>
    </row>
    <row r="57" spans="2:47" s="2" customFormat="1" ht="29.25" customHeight="1">
      <c r="B57" s="3"/>
      <c r="C57" s="67" t="s">
        <v>408</v>
      </c>
      <c r="D57" s="65"/>
      <c r="E57" s="65"/>
      <c r="F57" s="65"/>
      <c r="G57" s="65"/>
      <c r="H57" s="65"/>
      <c r="I57" s="65"/>
      <c r="J57" s="66" t="s">
        <v>380</v>
      </c>
      <c r="K57" s="65"/>
      <c r="L57" s="3"/>
    </row>
    <row r="58" spans="2:47" s="2" customFormat="1" ht="10.35" customHeight="1">
      <c r="B58" s="3"/>
      <c r="L58" s="3"/>
    </row>
    <row r="59" spans="2:47" s="2" customFormat="1" ht="22.9" customHeight="1">
      <c r="B59" s="3"/>
      <c r="C59" s="64" t="s">
        <v>1277</v>
      </c>
      <c r="J59" s="63">
        <f>J91</f>
        <v>0</v>
      </c>
      <c r="L59" s="3"/>
      <c r="AU59" s="7" t="s">
        <v>370</v>
      </c>
    </row>
    <row r="60" spans="2:47" s="58" customFormat="1" ht="24.95" customHeight="1">
      <c r="B60" s="59"/>
      <c r="D60" s="62" t="s">
        <v>1276</v>
      </c>
      <c r="E60" s="61"/>
      <c r="F60" s="61"/>
      <c r="G60" s="61"/>
      <c r="H60" s="61"/>
      <c r="I60" s="61"/>
      <c r="J60" s="60">
        <f>J92</f>
        <v>0</v>
      </c>
      <c r="L60" s="59"/>
    </row>
    <row r="61" spans="2:47" s="101" customFormat="1" ht="19.899999999999999" customHeight="1">
      <c r="B61" s="102"/>
      <c r="D61" s="105" t="s">
        <v>1275</v>
      </c>
      <c r="E61" s="104"/>
      <c r="F61" s="104"/>
      <c r="G61" s="104"/>
      <c r="H61" s="104"/>
      <c r="I61" s="104"/>
      <c r="J61" s="103">
        <f>J93</f>
        <v>0</v>
      </c>
      <c r="L61" s="102"/>
    </row>
    <row r="62" spans="2:47" s="101" customFormat="1" ht="19.899999999999999" customHeight="1">
      <c r="B62" s="102"/>
      <c r="D62" s="105" t="s">
        <v>1274</v>
      </c>
      <c r="E62" s="104"/>
      <c r="F62" s="104"/>
      <c r="G62" s="104"/>
      <c r="H62" s="104"/>
      <c r="I62" s="104"/>
      <c r="J62" s="103">
        <f>J101</f>
        <v>0</v>
      </c>
      <c r="L62" s="102"/>
    </row>
    <row r="63" spans="2:47" s="101" customFormat="1" ht="19.899999999999999" customHeight="1">
      <c r="B63" s="102"/>
      <c r="D63" s="105" t="s">
        <v>2646</v>
      </c>
      <c r="E63" s="104"/>
      <c r="F63" s="104"/>
      <c r="G63" s="104"/>
      <c r="H63" s="104"/>
      <c r="I63" s="104"/>
      <c r="J63" s="103">
        <f>J119</f>
        <v>0</v>
      </c>
      <c r="L63" s="102"/>
    </row>
    <row r="64" spans="2:47" s="58" customFormat="1" ht="24.95" customHeight="1">
      <c r="B64" s="59"/>
      <c r="D64" s="62" t="s">
        <v>2645</v>
      </c>
      <c r="E64" s="61"/>
      <c r="F64" s="61"/>
      <c r="G64" s="61"/>
      <c r="H64" s="61"/>
      <c r="I64" s="61"/>
      <c r="J64" s="60">
        <f>J123</f>
        <v>0</v>
      </c>
      <c r="L64" s="59"/>
    </row>
    <row r="65" spans="2:12" s="101" customFormat="1" ht="19.899999999999999" customHeight="1">
      <c r="B65" s="102"/>
      <c r="D65" s="105" t="s">
        <v>1272</v>
      </c>
      <c r="E65" s="104"/>
      <c r="F65" s="104"/>
      <c r="G65" s="104"/>
      <c r="H65" s="104"/>
      <c r="I65" s="104"/>
      <c r="J65" s="103">
        <f>J124</f>
        <v>0</v>
      </c>
      <c r="L65" s="102"/>
    </row>
    <row r="66" spans="2:12" s="101" customFormat="1" ht="19.899999999999999" customHeight="1">
      <c r="B66" s="102"/>
      <c r="D66" s="105" t="s">
        <v>2644</v>
      </c>
      <c r="E66" s="104"/>
      <c r="F66" s="104"/>
      <c r="G66" s="104"/>
      <c r="H66" s="104"/>
      <c r="I66" s="104"/>
      <c r="J66" s="103">
        <f>J148</f>
        <v>0</v>
      </c>
      <c r="L66" s="102"/>
    </row>
    <row r="67" spans="2:12" s="101" customFormat="1" ht="19.899999999999999" customHeight="1">
      <c r="B67" s="102"/>
      <c r="D67" s="105" t="s">
        <v>2643</v>
      </c>
      <c r="E67" s="104"/>
      <c r="F67" s="104"/>
      <c r="G67" s="104"/>
      <c r="H67" s="104"/>
      <c r="I67" s="104"/>
      <c r="J67" s="103">
        <f>J165</f>
        <v>0</v>
      </c>
      <c r="L67" s="102"/>
    </row>
    <row r="68" spans="2:12" s="101" customFormat="1" ht="19.899999999999999" customHeight="1">
      <c r="B68" s="102"/>
      <c r="D68" s="105" t="s">
        <v>2642</v>
      </c>
      <c r="E68" s="104"/>
      <c r="F68" s="104"/>
      <c r="G68" s="104"/>
      <c r="H68" s="104"/>
      <c r="I68" s="104"/>
      <c r="J68" s="103">
        <f>J309</f>
        <v>0</v>
      </c>
      <c r="L68" s="102"/>
    </row>
    <row r="69" spans="2:12" s="101" customFormat="1" ht="19.899999999999999" customHeight="1">
      <c r="B69" s="102"/>
      <c r="D69" s="105" t="s">
        <v>2641</v>
      </c>
      <c r="E69" s="104"/>
      <c r="F69" s="104"/>
      <c r="G69" s="104"/>
      <c r="H69" s="104"/>
      <c r="I69" s="104"/>
      <c r="J69" s="103">
        <f>J447</f>
        <v>0</v>
      </c>
      <c r="L69" s="102"/>
    </row>
    <row r="70" spans="2:12" s="101" customFormat="1" ht="19.899999999999999" customHeight="1">
      <c r="B70" s="102"/>
      <c r="D70" s="105" t="s">
        <v>2640</v>
      </c>
      <c r="E70" s="104"/>
      <c r="F70" s="104"/>
      <c r="G70" s="104"/>
      <c r="H70" s="104"/>
      <c r="I70" s="104"/>
      <c r="J70" s="103">
        <f>J497</f>
        <v>0</v>
      </c>
      <c r="L70" s="102"/>
    </row>
    <row r="71" spans="2:12" s="101" customFormat="1" ht="19.899999999999999" customHeight="1">
      <c r="B71" s="102"/>
      <c r="D71" s="105" t="s">
        <v>2639</v>
      </c>
      <c r="E71" s="104"/>
      <c r="F71" s="104"/>
      <c r="G71" s="104"/>
      <c r="H71" s="104"/>
      <c r="I71" s="104"/>
      <c r="J71" s="103">
        <f>J544</f>
        <v>0</v>
      </c>
      <c r="L71" s="102"/>
    </row>
    <row r="72" spans="2:12" s="2" customFormat="1" ht="21.75" customHeight="1">
      <c r="B72" s="3"/>
      <c r="L72" s="3"/>
    </row>
    <row r="73" spans="2:12" s="2" customFormat="1" ht="6.95" customHeight="1">
      <c r="B73" s="5"/>
      <c r="C73" s="4"/>
      <c r="D73" s="4"/>
      <c r="E73" s="4"/>
      <c r="F73" s="4"/>
      <c r="G73" s="4"/>
      <c r="H73" s="4"/>
      <c r="I73" s="4"/>
      <c r="J73" s="4"/>
      <c r="K73" s="4"/>
      <c r="L73" s="3"/>
    </row>
    <row r="77" spans="2:12" s="2" customFormat="1" ht="6.95" customHeight="1">
      <c r="B77" s="57"/>
      <c r="C77" s="56"/>
      <c r="D77" s="56"/>
      <c r="E77" s="56"/>
      <c r="F77" s="56"/>
      <c r="G77" s="56"/>
      <c r="H77" s="56"/>
      <c r="I77" s="56"/>
      <c r="J77" s="56"/>
      <c r="K77" s="56"/>
      <c r="L77" s="3"/>
    </row>
    <row r="78" spans="2:12" s="2" customFormat="1" ht="24.95" customHeight="1">
      <c r="B78" s="3"/>
      <c r="C78" s="55" t="s">
        <v>396</v>
      </c>
      <c r="L78" s="3"/>
    </row>
    <row r="79" spans="2:12" s="2" customFormat="1" ht="6.95" customHeight="1">
      <c r="B79" s="3"/>
      <c r="L79" s="3"/>
    </row>
    <row r="80" spans="2:12" s="2" customFormat="1" ht="12" customHeight="1">
      <c r="B80" s="3"/>
      <c r="C80" s="52" t="s">
        <v>395</v>
      </c>
      <c r="L80" s="3"/>
    </row>
    <row r="81" spans="2:65" s="2" customFormat="1" ht="16.5" customHeight="1">
      <c r="B81" s="3"/>
      <c r="E81" s="258" t="str">
        <f>E7</f>
        <v>Realizace úspor energie, areál NPK, a.s. Správní budova v Litomyšli - rekuperace (aktualizace 08/2022)</v>
      </c>
      <c r="F81" s="259"/>
      <c r="G81" s="259"/>
      <c r="H81" s="259"/>
      <c r="L81" s="3"/>
    </row>
    <row r="82" spans="2:65" s="2" customFormat="1" ht="12" customHeight="1">
      <c r="B82" s="3"/>
      <c r="C82" s="52" t="s">
        <v>394</v>
      </c>
      <c r="L82" s="3"/>
    </row>
    <row r="83" spans="2:65" s="2" customFormat="1" ht="16.5" customHeight="1">
      <c r="B83" s="3"/>
      <c r="E83" s="256" t="str">
        <f>E9</f>
        <v>D.1.4.3 - Zařízení vzduchotechniky a chlazení</v>
      </c>
      <c r="F83" s="257"/>
      <c r="G83" s="257"/>
      <c r="H83" s="257"/>
      <c r="L83" s="3"/>
    </row>
    <row r="84" spans="2:65" s="2" customFormat="1" ht="6.95" customHeight="1">
      <c r="B84" s="3"/>
      <c r="L84" s="3"/>
    </row>
    <row r="85" spans="2:65" s="2" customFormat="1" ht="12" customHeight="1">
      <c r="B85" s="3"/>
      <c r="C85" s="52" t="s">
        <v>393</v>
      </c>
      <c r="F85" s="53" t="str">
        <f>F12</f>
        <v>Litomyšl</v>
      </c>
      <c r="I85" s="52" t="s">
        <v>392</v>
      </c>
      <c r="J85" s="54" t="str">
        <f>IF(J12="","",J12)</f>
        <v>1. 8. 2022</v>
      </c>
      <c r="L85" s="3"/>
    </row>
    <row r="86" spans="2:65" s="2" customFormat="1" ht="6.95" customHeight="1">
      <c r="B86" s="3"/>
      <c r="L86" s="3"/>
    </row>
    <row r="87" spans="2:65" s="2" customFormat="1" ht="40.15" customHeight="1">
      <c r="B87" s="3"/>
      <c r="C87" s="52" t="s">
        <v>391</v>
      </c>
      <c r="F87" s="53" t="str">
        <f>E15</f>
        <v>Pardubický kraj,Komenského n.125,532 11 Pardubice</v>
      </c>
      <c r="I87" s="52" t="s">
        <v>390</v>
      </c>
      <c r="J87" s="51" t="str">
        <f>E21</f>
        <v>KIP s.r.o.Litomyšl projektant části:Ing.LiborSauer</v>
      </c>
      <c r="L87" s="3"/>
    </row>
    <row r="88" spans="2:65" s="2" customFormat="1" ht="15.2" customHeight="1">
      <c r="B88" s="3"/>
      <c r="C88" s="52" t="s">
        <v>389</v>
      </c>
      <c r="F88" s="53" t="str">
        <f>IF(E18="","",E18)</f>
        <v>Vyplň údaj</v>
      </c>
      <c r="I88" s="52" t="s">
        <v>388</v>
      </c>
      <c r="J88" s="51" t="str">
        <f>E24</f>
        <v xml:space="preserve"> </v>
      </c>
      <c r="L88" s="3"/>
    </row>
    <row r="89" spans="2:65" s="2" customFormat="1" ht="10.35" customHeight="1">
      <c r="B89" s="3"/>
      <c r="L89" s="3"/>
    </row>
    <row r="90" spans="2:65" s="43" customFormat="1" ht="29.25" customHeight="1">
      <c r="B90" s="47"/>
      <c r="C90" s="50" t="s">
        <v>387</v>
      </c>
      <c r="D90" s="49" t="s">
        <v>386</v>
      </c>
      <c r="E90" s="49" t="s">
        <v>385</v>
      </c>
      <c r="F90" s="49" t="s">
        <v>384</v>
      </c>
      <c r="G90" s="49" t="s">
        <v>383</v>
      </c>
      <c r="H90" s="49" t="s">
        <v>382</v>
      </c>
      <c r="I90" s="49" t="s">
        <v>381</v>
      </c>
      <c r="J90" s="49" t="s">
        <v>380</v>
      </c>
      <c r="K90" s="48" t="s">
        <v>379</v>
      </c>
      <c r="L90" s="47"/>
      <c r="M90" s="46" t="s">
        <v>6</v>
      </c>
      <c r="N90" s="45" t="s">
        <v>378</v>
      </c>
      <c r="O90" s="45" t="s">
        <v>377</v>
      </c>
      <c r="P90" s="45" t="s">
        <v>376</v>
      </c>
      <c r="Q90" s="45" t="s">
        <v>375</v>
      </c>
      <c r="R90" s="45" t="s">
        <v>374</v>
      </c>
      <c r="S90" s="45" t="s">
        <v>373</v>
      </c>
      <c r="T90" s="44" t="s">
        <v>372</v>
      </c>
    </row>
    <row r="91" spans="2:65" s="2" customFormat="1" ht="22.9" customHeight="1">
      <c r="B91" s="3"/>
      <c r="C91" s="42" t="s">
        <v>371</v>
      </c>
      <c r="J91" s="41">
        <f>BK91</f>
        <v>0</v>
      </c>
      <c r="L91" s="3"/>
      <c r="M91" s="40"/>
      <c r="N91" s="38"/>
      <c r="O91" s="38"/>
      <c r="P91" s="39">
        <f>P92+P123</f>
        <v>0</v>
      </c>
      <c r="Q91" s="38"/>
      <c r="R91" s="39">
        <f>R92+R123</f>
        <v>9.7953550000000007</v>
      </c>
      <c r="S91" s="38"/>
      <c r="T91" s="37">
        <f>T92+T123</f>
        <v>3.4903319999999995</v>
      </c>
      <c r="AT91" s="7" t="s">
        <v>26</v>
      </c>
      <c r="AU91" s="7" t="s">
        <v>370</v>
      </c>
      <c r="BK91" s="36">
        <f>BK92+BK123</f>
        <v>0</v>
      </c>
    </row>
    <row r="92" spans="2:65" s="25" customFormat="1" ht="25.9" customHeight="1">
      <c r="B92" s="32"/>
      <c r="D92" s="27" t="s">
        <v>26</v>
      </c>
      <c r="E92" s="35" t="s">
        <v>1266</v>
      </c>
      <c r="F92" s="35" t="s">
        <v>1265</v>
      </c>
      <c r="I92" s="34"/>
      <c r="J92" s="33">
        <f>BK92</f>
        <v>0</v>
      </c>
      <c r="L92" s="32"/>
      <c r="M92" s="31"/>
      <c r="P92" s="30">
        <f>P93+P101+P119</f>
        <v>0</v>
      </c>
      <c r="R92" s="30">
        <f>R93+R101+R119</f>
        <v>7.7999999999999996E-3</v>
      </c>
      <c r="T92" s="29">
        <f>T93+T101+T119</f>
        <v>0</v>
      </c>
      <c r="AR92" s="27" t="s">
        <v>2</v>
      </c>
      <c r="AT92" s="28" t="s">
        <v>26</v>
      </c>
      <c r="AU92" s="28" t="s">
        <v>25</v>
      </c>
      <c r="AY92" s="27" t="s">
        <v>3</v>
      </c>
      <c r="BK92" s="26">
        <f>BK93+BK101+BK119</f>
        <v>0</v>
      </c>
    </row>
    <row r="93" spans="2:65" s="25" customFormat="1" ht="22.9" customHeight="1">
      <c r="B93" s="32"/>
      <c r="D93" s="27" t="s">
        <v>26</v>
      </c>
      <c r="E93" s="98" t="s">
        <v>347</v>
      </c>
      <c r="F93" s="98" t="s">
        <v>1264</v>
      </c>
      <c r="I93" s="34"/>
      <c r="J93" s="97">
        <f>BK93</f>
        <v>0</v>
      </c>
      <c r="L93" s="32"/>
      <c r="M93" s="31"/>
      <c r="P93" s="30">
        <f>SUM(P94:P100)</f>
        <v>0</v>
      </c>
      <c r="R93" s="30">
        <f>SUM(R94:R100)</f>
        <v>7.7999999999999996E-3</v>
      </c>
      <c r="T93" s="29">
        <f>SUM(T94:T100)</f>
        <v>0</v>
      </c>
      <c r="AR93" s="27" t="s">
        <v>2</v>
      </c>
      <c r="AT93" s="28" t="s">
        <v>26</v>
      </c>
      <c r="AU93" s="28" t="s">
        <v>2</v>
      </c>
      <c r="AY93" s="27" t="s">
        <v>3</v>
      </c>
      <c r="BK93" s="26">
        <f>SUM(BK94:BK100)</f>
        <v>0</v>
      </c>
    </row>
    <row r="94" spans="2:65" s="2" customFormat="1" ht="24.2" customHeight="1">
      <c r="B94" s="3"/>
      <c r="C94" s="20" t="s">
        <v>2</v>
      </c>
      <c r="D94" s="20" t="s">
        <v>4</v>
      </c>
      <c r="E94" s="19" t="s">
        <v>2638</v>
      </c>
      <c r="F94" s="14" t="s">
        <v>2637</v>
      </c>
      <c r="G94" s="18" t="s">
        <v>691</v>
      </c>
      <c r="H94" s="17">
        <v>60</v>
      </c>
      <c r="I94" s="16"/>
      <c r="J94" s="15">
        <f>ROUND(I94*H94,2)</f>
        <v>0</v>
      </c>
      <c r="K94" s="14" t="s">
        <v>654</v>
      </c>
      <c r="L94" s="3"/>
      <c r="M94" s="24" t="s">
        <v>6</v>
      </c>
      <c r="N94" s="23" t="s">
        <v>5</v>
      </c>
      <c r="P94" s="22">
        <f>O94*H94</f>
        <v>0</v>
      </c>
      <c r="Q94" s="22">
        <v>1.2999999999999999E-4</v>
      </c>
      <c r="R94" s="22">
        <f>Q94*H94</f>
        <v>7.7999999999999996E-3</v>
      </c>
      <c r="S94" s="22">
        <v>0</v>
      </c>
      <c r="T94" s="21">
        <f>S94*H94</f>
        <v>0</v>
      </c>
      <c r="AR94" s="6" t="s">
        <v>1</v>
      </c>
      <c r="AT94" s="6" t="s">
        <v>4</v>
      </c>
      <c r="AU94" s="6" t="s">
        <v>365</v>
      </c>
      <c r="AY94" s="7" t="s">
        <v>3</v>
      </c>
      <c r="BE94" s="8">
        <f>IF(N94="základní",J94,0)</f>
        <v>0</v>
      </c>
      <c r="BF94" s="8">
        <f>IF(N94="snížená",J94,0)</f>
        <v>0</v>
      </c>
      <c r="BG94" s="8">
        <f>IF(N94="zákl. přenesená",J94,0)</f>
        <v>0</v>
      </c>
      <c r="BH94" s="8">
        <f>IF(N94="sníž. přenesená",J94,0)</f>
        <v>0</v>
      </c>
      <c r="BI94" s="8">
        <f>IF(N94="nulová",J94,0)</f>
        <v>0</v>
      </c>
      <c r="BJ94" s="7" t="s">
        <v>2</v>
      </c>
      <c r="BK94" s="8">
        <f>ROUND(I94*H94,2)</f>
        <v>0</v>
      </c>
      <c r="BL94" s="7" t="s">
        <v>1</v>
      </c>
      <c r="BM94" s="6" t="s">
        <v>2636</v>
      </c>
    </row>
    <row r="95" spans="2:65" s="2" customFormat="1">
      <c r="B95" s="3"/>
      <c r="D95" s="107" t="s">
        <v>651</v>
      </c>
      <c r="F95" s="106" t="s">
        <v>2635</v>
      </c>
      <c r="I95" s="94"/>
      <c r="L95" s="3"/>
      <c r="M95" s="100"/>
      <c r="T95" s="99"/>
      <c r="AT95" s="7" t="s">
        <v>651</v>
      </c>
      <c r="AU95" s="7" t="s">
        <v>365</v>
      </c>
    </row>
    <row r="96" spans="2:65" s="2" customFormat="1" ht="48.75">
      <c r="B96" s="3"/>
      <c r="D96" s="96" t="s">
        <v>731</v>
      </c>
      <c r="F96" s="95" t="s">
        <v>2634</v>
      </c>
      <c r="I96" s="94"/>
      <c r="L96" s="3"/>
      <c r="M96" s="100"/>
      <c r="T96" s="99"/>
      <c r="AT96" s="7" t="s">
        <v>731</v>
      </c>
      <c r="AU96" s="7" t="s">
        <v>365</v>
      </c>
    </row>
    <row r="97" spans="2:65" s="108" customFormat="1">
      <c r="B97" s="112"/>
      <c r="D97" s="96" t="s">
        <v>704</v>
      </c>
      <c r="E97" s="109" t="s">
        <v>6</v>
      </c>
      <c r="F97" s="115" t="s">
        <v>2633</v>
      </c>
      <c r="H97" s="114">
        <v>60</v>
      </c>
      <c r="I97" s="113"/>
      <c r="L97" s="112"/>
      <c r="M97" s="111"/>
      <c r="T97" s="110"/>
      <c r="AT97" s="109" t="s">
        <v>704</v>
      </c>
      <c r="AU97" s="109" t="s">
        <v>365</v>
      </c>
      <c r="AV97" s="108" t="s">
        <v>365</v>
      </c>
      <c r="AW97" s="108" t="s">
        <v>703</v>
      </c>
      <c r="AX97" s="108" t="s">
        <v>2</v>
      </c>
      <c r="AY97" s="109" t="s">
        <v>3</v>
      </c>
    </row>
    <row r="98" spans="2:65" s="2" customFormat="1" ht="16.5" customHeight="1">
      <c r="B98" s="3"/>
      <c r="C98" s="20" t="s">
        <v>365</v>
      </c>
      <c r="D98" s="20" t="s">
        <v>4</v>
      </c>
      <c r="E98" s="19" t="s">
        <v>2632</v>
      </c>
      <c r="F98" s="14" t="s">
        <v>2631</v>
      </c>
      <c r="G98" s="18" t="s">
        <v>714</v>
      </c>
      <c r="H98" s="17">
        <v>1</v>
      </c>
      <c r="I98" s="16"/>
      <c r="J98" s="15">
        <f>ROUND(I98*H98,2)</f>
        <v>0</v>
      </c>
      <c r="K98" s="14" t="s">
        <v>7</v>
      </c>
      <c r="L98" s="3"/>
      <c r="M98" s="24" t="s">
        <v>6</v>
      </c>
      <c r="N98" s="23" t="s">
        <v>5</v>
      </c>
      <c r="P98" s="22">
        <f>O98*H98</f>
        <v>0</v>
      </c>
      <c r="Q98" s="22">
        <v>0</v>
      </c>
      <c r="R98" s="22">
        <f>Q98*H98</f>
        <v>0</v>
      </c>
      <c r="S98" s="22">
        <v>0</v>
      </c>
      <c r="T98" s="21">
        <f>S98*H98</f>
        <v>0</v>
      </c>
      <c r="AR98" s="6" t="s">
        <v>1</v>
      </c>
      <c r="AT98" s="6" t="s">
        <v>4</v>
      </c>
      <c r="AU98" s="6" t="s">
        <v>365</v>
      </c>
      <c r="AY98" s="7" t="s">
        <v>3</v>
      </c>
      <c r="BE98" s="8">
        <f>IF(N98="základní",J98,0)</f>
        <v>0</v>
      </c>
      <c r="BF98" s="8">
        <f>IF(N98="snížená",J98,0)</f>
        <v>0</v>
      </c>
      <c r="BG98" s="8">
        <f>IF(N98="zákl. přenesená",J98,0)</f>
        <v>0</v>
      </c>
      <c r="BH98" s="8">
        <f>IF(N98="sníž. přenesená",J98,0)</f>
        <v>0</v>
      </c>
      <c r="BI98" s="8">
        <f>IF(N98="nulová",J98,0)</f>
        <v>0</v>
      </c>
      <c r="BJ98" s="7" t="s">
        <v>2</v>
      </c>
      <c r="BK98" s="8">
        <f>ROUND(I98*H98,2)</f>
        <v>0</v>
      </c>
      <c r="BL98" s="7" t="s">
        <v>1</v>
      </c>
      <c r="BM98" s="6" t="s">
        <v>2630</v>
      </c>
    </row>
    <row r="99" spans="2:65" s="2" customFormat="1" ht="16.5" customHeight="1">
      <c r="B99" s="3"/>
      <c r="C99" s="20" t="s">
        <v>362</v>
      </c>
      <c r="D99" s="20" t="s">
        <v>4</v>
      </c>
      <c r="E99" s="19" t="s">
        <v>2629</v>
      </c>
      <c r="F99" s="14" t="s">
        <v>2628</v>
      </c>
      <c r="G99" s="18" t="s">
        <v>714</v>
      </c>
      <c r="H99" s="17">
        <v>1</v>
      </c>
      <c r="I99" s="16"/>
      <c r="J99" s="15">
        <f>ROUND(I99*H99,2)</f>
        <v>0</v>
      </c>
      <c r="K99" s="14" t="s">
        <v>7</v>
      </c>
      <c r="L99" s="3"/>
      <c r="M99" s="24" t="s">
        <v>6</v>
      </c>
      <c r="N99" s="23" t="s">
        <v>5</v>
      </c>
      <c r="P99" s="22">
        <f>O99*H99</f>
        <v>0</v>
      </c>
      <c r="Q99" s="22">
        <v>0</v>
      </c>
      <c r="R99" s="22">
        <f>Q99*H99</f>
        <v>0</v>
      </c>
      <c r="S99" s="22">
        <v>0</v>
      </c>
      <c r="T99" s="21">
        <f>S99*H99</f>
        <v>0</v>
      </c>
      <c r="AR99" s="6" t="s">
        <v>1</v>
      </c>
      <c r="AT99" s="6" t="s">
        <v>4</v>
      </c>
      <c r="AU99" s="6" t="s">
        <v>365</v>
      </c>
      <c r="AY99" s="7" t="s">
        <v>3</v>
      </c>
      <c r="BE99" s="8">
        <f>IF(N99="základní",J99,0)</f>
        <v>0</v>
      </c>
      <c r="BF99" s="8">
        <f>IF(N99="snížená",J99,0)</f>
        <v>0</v>
      </c>
      <c r="BG99" s="8">
        <f>IF(N99="zákl. přenesená",J99,0)</f>
        <v>0</v>
      </c>
      <c r="BH99" s="8">
        <f>IF(N99="sníž. přenesená",J99,0)</f>
        <v>0</v>
      </c>
      <c r="BI99" s="8">
        <f>IF(N99="nulová",J99,0)</f>
        <v>0</v>
      </c>
      <c r="BJ99" s="7" t="s">
        <v>2</v>
      </c>
      <c r="BK99" s="8">
        <f>ROUND(I99*H99,2)</f>
        <v>0</v>
      </c>
      <c r="BL99" s="7" t="s">
        <v>1</v>
      </c>
      <c r="BM99" s="6" t="s">
        <v>2627</v>
      </c>
    </row>
    <row r="100" spans="2:65" s="2" customFormat="1" ht="16.5" customHeight="1">
      <c r="B100" s="3"/>
      <c r="C100" s="20" t="s">
        <v>1</v>
      </c>
      <c r="D100" s="20" t="s">
        <v>4</v>
      </c>
      <c r="E100" s="19" t="s">
        <v>2626</v>
      </c>
      <c r="F100" s="14" t="s">
        <v>2625</v>
      </c>
      <c r="G100" s="18" t="s">
        <v>714</v>
      </c>
      <c r="H100" s="17">
        <v>1</v>
      </c>
      <c r="I100" s="16"/>
      <c r="J100" s="15">
        <f>ROUND(I100*H100,2)</f>
        <v>0</v>
      </c>
      <c r="K100" s="14" t="s">
        <v>7</v>
      </c>
      <c r="L100" s="3"/>
      <c r="M100" s="24" t="s">
        <v>6</v>
      </c>
      <c r="N100" s="23" t="s">
        <v>5</v>
      </c>
      <c r="P100" s="22">
        <f>O100*H100</f>
        <v>0</v>
      </c>
      <c r="Q100" s="22">
        <v>0</v>
      </c>
      <c r="R100" s="22">
        <f>Q100*H100</f>
        <v>0</v>
      </c>
      <c r="S100" s="22">
        <v>0</v>
      </c>
      <c r="T100" s="21">
        <f>S100*H100</f>
        <v>0</v>
      </c>
      <c r="AR100" s="6" t="s">
        <v>1</v>
      </c>
      <c r="AT100" s="6" t="s">
        <v>4</v>
      </c>
      <c r="AU100" s="6" t="s">
        <v>365</v>
      </c>
      <c r="AY100" s="7" t="s">
        <v>3</v>
      </c>
      <c r="BE100" s="8">
        <f>IF(N100="základní",J100,0)</f>
        <v>0</v>
      </c>
      <c r="BF100" s="8">
        <f>IF(N100="snížená",J100,0)</f>
        <v>0</v>
      </c>
      <c r="BG100" s="8">
        <f>IF(N100="zákl. přenesená",J100,0)</f>
        <v>0</v>
      </c>
      <c r="BH100" s="8">
        <f>IF(N100="sníž. přenesená",J100,0)</f>
        <v>0</v>
      </c>
      <c r="BI100" s="8">
        <f>IF(N100="nulová",J100,0)</f>
        <v>0</v>
      </c>
      <c r="BJ100" s="7" t="s">
        <v>2</v>
      </c>
      <c r="BK100" s="8">
        <f>ROUND(I100*H100,2)</f>
        <v>0</v>
      </c>
      <c r="BL100" s="7" t="s">
        <v>1</v>
      </c>
      <c r="BM100" s="6" t="s">
        <v>2624</v>
      </c>
    </row>
    <row r="101" spans="2:65" s="25" customFormat="1" ht="22.9" customHeight="1">
      <c r="B101" s="32"/>
      <c r="D101" s="27" t="s">
        <v>26</v>
      </c>
      <c r="E101" s="98" t="s">
        <v>1236</v>
      </c>
      <c r="F101" s="98" t="s">
        <v>1235</v>
      </c>
      <c r="I101" s="34"/>
      <c r="J101" s="97">
        <f>BK101</f>
        <v>0</v>
      </c>
      <c r="L101" s="32"/>
      <c r="M101" s="31"/>
      <c r="P101" s="30">
        <f>SUM(P102:P118)</f>
        <v>0</v>
      </c>
      <c r="R101" s="30">
        <f>SUM(R102:R118)</f>
        <v>0</v>
      </c>
      <c r="T101" s="29">
        <f>SUM(T102:T118)</f>
        <v>0</v>
      </c>
      <c r="AR101" s="27" t="s">
        <v>2</v>
      </c>
      <c r="AT101" s="28" t="s">
        <v>26</v>
      </c>
      <c r="AU101" s="28" t="s">
        <v>2</v>
      </c>
      <c r="AY101" s="27" t="s">
        <v>3</v>
      </c>
      <c r="BK101" s="26">
        <f>SUM(BK102:BK118)</f>
        <v>0</v>
      </c>
    </row>
    <row r="102" spans="2:65" s="2" customFormat="1" ht="24.2" customHeight="1">
      <c r="B102" s="3"/>
      <c r="C102" s="20" t="s">
        <v>357</v>
      </c>
      <c r="D102" s="20" t="s">
        <v>4</v>
      </c>
      <c r="E102" s="19" t="s">
        <v>1234</v>
      </c>
      <c r="F102" s="14" t="s">
        <v>1233</v>
      </c>
      <c r="G102" s="18" t="s">
        <v>735</v>
      </c>
      <c r="H102" s="17">
        <v>3.49</v>
      </c>
      <c r="I102" s="16"/>
      <c r="J102" s="15">
        <f>ROUND(I102*H102,2)</f>
        <v>0</v>
      </c>
      <c r="K102" s="14" t="s">
        <v>654</v>
      </c>
      <c r="L102" s="3"/>
      <c r="M102" s="24" t="s">
        <v>6</v>
      </c>
      <c r="N102" s="23" t="s">
        <v>5</v>
      </c>
      <c r="P102" s="22">
        <f>O102*H102</f>
        <v>0</v>
      </c>
      <c r="Q102" s="22">
        <v>0</v>
      </c>
      <c r="R102" s="22">
        <f>Q102*H102</f>
        <v>0</v>
      </c>
      <c r="S102" s="22">
        <v>0</v>
      </c>
      <c r="T102" s="21">
        <f>S102*H102</f>
        <v>0</v>
      </c>
      <c r="AR102" s="6" t="s">
        <v>1</v>
      </c>
      <c r="AT102" s="6" t="s">
        <v>4</v>
      </c>
      <c r="AU102" s="6" t="s">
        <v>365</v>
      </c>
      <c r="AY102" s="7" t="s">
        <v>3</v>
      </c>
      <c r="BE102" s="8">
        <f>IF(N102="základní",J102,0)</f>
        <v>0</v>
      </c>
      <c r="BF102" s="8">
        <f>IF(N102="snížená",J102,0)</f>
        <v>0</v>
      </c>
      <c r="BG102" s="8">
        <f>IF(N102="zákl. přenesená",J102,0)</f>
        <v>0</v>
      </c>
      <c r="BH102" s="8">
        <f>IF(N102="sníž. přenesená",J102,0)</f>
        <v>0</v>
      </c>
      <c r="BI102" s="8">
        <f>IF(N102="nulová",J102,0)</f>
        <v>0</v>
      </c>
      <c r="BJ102" s="7" t="s">
        <v>2</v>
      </c>
      <c r="BK102" s="8">
        <f>ROUND(I102*H102,2)</f>
        <v>0</v>
      </c>
      <c r="BL102" s="7" t="s">
        <v>1</v>
      </c>
      <c r="BM102" s="6" t="s">
        <v>2623</v>
      </c>
    </row>
    <row r="103" spans="2:65" s="2" customFormat="1">
      <c r="B103" s="3"/>
      <c r="D103" s="107" t="s">
        <v>651</v>
      </c>
      <c r="F103" s="106" t="s">
        <v>1231</v>
      </c>
      <c r="I103" s="94"/>
      <c r="L103" s="3"/>
      <c r="M103" s="100"/>
      <c r="T103" s="99"/>
      <c r="AT103" s="7" t="s">
        <v>651</v>
      </c>
      <c r="AU103" s="7" t="s">
        <v>365</v>
      </c>
    </row>
    <row r="104" spans="2:65" s="2" customFormat="1" ht="107.25">
      <c r="B104" s="3"/>
      <c r="D104" s="96" t="s">
        <v>731</v>
      </c>
      <c r="F104" s="95" t="s">
        <v>1230</v>
      </c>
      <c r="I104" s="94"/>
      <c r="L104" s="3"/>
      <c r="M104" s="100"/>
      <c r="T104" s="99"/>
      <c r="AT104" s="7" t="s">
        <v>731</v>
      </c>
      <c r="AU104" s="7" t="s">
        <v>365</v>
      </c>
    </row>
    <row r="105" spans="2:65" s="2" customFormat="1" ht="24.2" customHeight="1">
      <c r="B105" s="3"/>
      <c r="C105" s="20" t="s">
        <v>355</v>
      </c>
      <c r="D105" s="20" t="s">
        <v>4</v>
      </c>
      <c r="E105" s="19" t="s">
        <v>1229</v>
      </c>
      <c r="F105" s="14" t="s">
        <v>1228</v>
      </c>
      <c r="G105" s="18" t="s">
        <v>735</v>
      </c>
      <c r="H105" s="17">
        <v>31.41</v>
      </c>
      <c r="I105" s="16"/>
      <c r="J105" s="15">
        <f>ROUND(I105*H105,2)</f>
        <v>0</v>
      </c>
      <c r="K105" s="14" t="s">
        <v>654</v>
      </c>
      <c r="L105" s="3"/>
      <c r="M105" s="24" t="s">
        <v>6</v>
      </c>
      <c r="N105" s="23" t="s">
        <v>5</v>
      </c>
      <c r="P105" s="22">
        <f>O105*H105</f>
        <v>0</v>
      </c>
      <c r="Q105" s="22">
        <v>0</v>
      </c>
      <c r="R105" s="22">
        <f>Q105*H105</f>
        <v>0</v>
      </c>
      <c r="S105" s="22">
        <v>0</v>
      </c>
      <c r="T105" s="21">
        <f>S105*H105</f>
        <v>0</v>
      </c>
      <c r="AR105" s="6" t="s">
        <v>1</v>
      </c>
      <c r="AT105" s="6" t="s">
        <v>4</v>
      </c>
      <c r="AU105" s="6" t="s">
        <v>365</v>
      </c>
      <c r="AY105" s="7" t="s">
        <v>3</v>
      </c>
      <c r="BE105" s="8">
        <f>IF(N105="základní",J105,0)</f>
        <v>0</v>
      </c>
      <c r="BF105" s="8">
        <f>IF(N105="snížená",J105,0)</f>
        <v>0</v>
      </c>
      <c r="BG105" s="8">
        <f>IF(N105="zákl. přenesená",J105,0)</f>
        <v>0</v>
      </c>
      <c r="BH105" s="8">
        <f>IF(N105="sníž. přenesená",J105,0)</f>
        <v>0</v>
      </c>
      <c r="BI105" s="8">
        <f>IF(N105="nulová",J105,0)</f>
        <v>0</v>
      </c>
      <c r="BJ105" s="7" t="s">
        <v>2</v>
      </c>
      <c r="BK105" s="8">
        <f>ROUND(I105*H105,2)</f>
        <v>0</v>
      </c>
      <c r="BL105" s="7" t="s">
        <v>1</v>
      </c>
      <c r="BM105" s="6" t="s">
        <v>2622</v>
      </c>
    </row>
    <row r="106" spans="2:65" s="2" customFormat="1">
      <c r="B106" s="3"/>
      <c r="D106" s="107" t="s">
        <v>651</v>
      </c>
      <c r="F106" s="106" t="s">
        <v>1226</v>
      </c>
      <c r="I106" s="94"/>
      <c r="L106" s="3"/>
      <c r="M106" s="100"/>
      <c r="T106" s="99"/>
      <c r="AT106" s="7" t="s">
        <v>651</v>
      </c>
      <c r="AU106" s="7" t="s">
        <v>365</v>
      </c>
    </row>
    <row r="107" spans="2:65" s="2" customFormat="1" ht="58.5">
      <c r="B107" s="3"/>
      <c r="D107" s="96" t="s">
        <v>731</v>
      </c>
      <c r="F107" s="95" t="s">
        <v>1225</v>
      </c>
      <c r="I107" s="94"/>
      <c r="L107" s="3"/>
      <c r="M107" s="100"/>
      <c r="T107" s="99"/>
      <c r="AT107" s="7" t="s">
        <v>731</v>
      </c>
      <c r="AU107" s="7" t="s">
        <v>365</v>
      </c>
    </row>
    <row r="108" spans="2:65" s="108" customFormat="1">
      <c r="B108" s="112"/>
      <c r="D108" s="96" t="s">
        <v>704</v>
      </c>
      <c r="E108" s="109" t="s">
        <v>6</v>
      </c>
      <c r="F108" s="115" t="s">
        <v>2621</v>
      </c>
      <c r="H108" s="114">
        <v>31.41</v>
      </c>
      <c r="I108" s="113"/>
      <c r="L108" s="112"/>
      <c r="M108" s="111"/>
      <c r="T108" s="110"/>
      <c r="AT108" s="109" t="s">
        <v>704</v>
      </c>
      <c r="AU108" s="109" t="s">
        <v>365</v>
      </c>
      <c r="AV108" s="108" t="s">
        <v>365</v>
      </c>
      <c r="AW108" s="108" t="s">
        <v>703</v>
      </c>
      <c r="AX108" s="108" t="s">
        <v>2</v>
      </c>
      <c r="AY108" s="109" t="s">
        <v>3</v>
      </c>
    </row>
    <row r="109" spans="2:65" s="2" customFormat="1" ht="21.75" customHeight="1">
      <c r="B109" s="3"/>
      <c r="C109" s="20" t="s">
        <v>352</v>
      </c>
      <c r="D109" s="20" t="s">
        <v>4</v>
      </c>
      <c r="E109" s="19" t="s">
        <v>1223</v>
      </c>
      <c r="F109" s="14" t="s">
        <v>1222</v>
      </c>
      <c r="G109" s="18" t="s">
        <v>735</v>
      </c>
      <c r="H109" s="17">
        <v>3.49</v>
      </c>
      <c r="I109" s="16"/>
      <c r="J109" s="15">
        <f>ROUND(I109*H109,2)</f>
        <v>0</v>
      </c>
      <c r="K109" s="14" t="s">
        <v>654</v>
      </c>
      <c r="L109" s="3"/>
      <c r="M109" s="24" t="s">
        <v>6</v>
      </c>
      <c r="N109" s="23" t="s">
        <v>5</v>
      </c>
      <c r="P109" s="22">
        <f>O109*H109</f>
        <v>0</v>
      </c>
      <c r="Q109" s="22">
        <v>0</v>
      </c>
      <c r="R109" s="22">
        <f>Q109*H109</f>
        <v>0</v>
      </c>
      <c r="S109" s="22">
        <v>0</v>
      </c>
      <c r="T109" s="21">
        <f>S109*H109</f>
        <v>0</v>
      </c>
      <c r="AR109" s="6" t="s">
        <v>1</v>
      </c>
      <c r="AT109" s="6" t="s">
        <v>4</v>
      </c>
      <c r="AU109" s="6" t="s">
        <v>365</v>
      </c>
      <c r="AY109" s="7" t="s">
        <v>3</v>
      </c>
      <c r="BE109" s="8">
        <f>IF(N109="základní",J109,0)</f>
        <v>0</v>
      </c>
      <c r="BF109" s="8">
        <f>IF(N109="snížená",J109,0)</f>
        <v>0</v>
      </c>
      <c r="BG109" s="8">
        <f>IF(N109="zákl. přenesená",J109,0)</f>
        <v>0</v>
      </c>
      <c r="BH109" s="8">
        <f>IF(N109="sníž. přenesená",J109,0)</f>
        <v>0</v>
      </c>
      <c r="BI109" s="8">
        <f>IF(N109="nulová",J109,0)</f>
        <v>0</v>
      </c>
      <c r="BJ109" s="7" t="s">
        <v>2</v>
      </c>
      <c r="BK109" s="8">
        <f>ROUND(I109*H109,2)</f>
        <v>0</v>
      </c>
      <c r="BL109" s="7" t="s">
        <v>1</v>
      </c>
      <c r="BM109" s="6" t="s">
        <v>2620</v>
      </c>
    </row>
    <row r="110" spans="2:65" s="2" customFormat="1">
      <c r="B110" s="3"/>
      <c r="D110" s="107" t="s">
        <v>651</v>
      </c>
      <c r="F110" s="106" t="s">
        <v>1220</v>
      </c>
      <c r="I110" s="94"/>
      <c r="L110" s="3"/>
      <c r="M110" s="100"/>
      <c r="T110" s="99"/>
      <c r="AT110" s="7" t="s">
        <v>651</v>
      </c>
      <c r="AU110" s="7" t="s">
        <v>365</v>
      </c>
    </row>
    <row r="111" spans="2:65" s="2" customFormat="1" ht="68.25">
      <c r="B111" s="3"/>
      <c r="D111" s="96" t="s">
        <v>731</v>
      </c>
      <c r="F111" s="95" t="s">
        <v>1219</v>
      </c>
      <c r="I111" s="94"/>
      <c r="L111" s="3"/>
      <c r="M111" s="100"/>
      <c r="T111" s="99"/>
      <c r="AT111" s="7" t="s">
        <v>731</v>
      </c>
      <c r="AU111" s="7" t="s">
        <v>365</v>
      </c>
    </row>
    <row r="112" spans="2:65" s="2" customFormat="1" ht="24.2" customHeight="1">
      <c r="B112" s="3"/>
      <c r="C112" s="20" t="s">
        <v>349</v>
      </c>
      <c r="D112" s="20" t="s">
        <v>4</v>
      </c>
      <c r="E112" s="19" t="s">
        <v>1218</v>
      </c>
      <c r="F112" s="14" t="s">
        <v>1217</v>
      </c>
      <c r="G112" s="18" t="s">
        <v>735</v>
      </c>
      <c r="H112" s="17">
        <v>0.121</v>
      </c>
      <c r="I112" s="16"/>
      <c r="J112" s="15">
        <f>ROUND(I112*H112,2)</f>
        <v>0</v>
      </c>
      <c r="K112" s="14" t="s">
        <v>654</v>
      </c>
      <c r="L112" s="3"/>
      <c r="M112" s="24" t="s">
        <v>6</v>
      </c>
      <c r="N112" s="23" t="s">
        <v>5</v>
      </c>
      <c r="P112" s="22">
        <f>O112*H112</f>
        <v>0</v>
      </c>
      <c r="Q112" s="22">
        <v>0</v>
      </c>
      <c r="R112" s="22">
        <f>Q112*H112</f>
        <v>0</v>
      </c>
      <c r="S112" s="22">
        <v>0</v>
      </c>
      <c r="T112" s="21">
        <f>S112*H112</f>
        <v>0</v>
      </c>
      <c r="AR112" s="6" t="s">
        <v>1</v>
      </c>
      <c r="AT112" s="6" t="s">
        <v>4</v>
      </c>
      <c r="AU112" s="6" t="s">
        <v>365</v>
      </c>
      <c r="AY112" s="7" t="s">
        <v>3</v>
      </c>
      <c r="BE112" s="8">
        <f>IF(N112="základní",J112,0)</f>
        <v>0</v>
      </c>
      <c r="BF112" s="8">
        <f>IF(N112="snížená",J112,0)</f>
        <v>0</v>
      </c>
      <c r="BG112" s="8">
        <f>IF(N112="zákl. přenesená",J112,0)</f>
        <v>0</v>
      </c>
      <c r="BH112" s="8">
        <f>IF(N112="sníž. přenesená",J112,0)</f>
        <v>0</v>
      </c>
      <c r="BI112" s="8">
        <f>IF(N112="nulová",J112,0)</f>
        <v>0</v>
      </c>
      <c r="BJ112" s="7" t="s">
        <v>2</v>
      </c>
      <c r="BK112" s="8">
        <f>ROUND(I112*H112,2)</f>
        <v>0</v>
      </c>
      <c r="BL112" s="7" t="s">
        <v>1</v>
      </c>
      <c r="BM112" s="6" t="s">
        <v>2619</v>
      </c>
    </row>
    <row r="113" spans="2:65" s="2" customFormat="1">
      <c r="B113" s="3"/>
      <c r="D113" s="107" t="s">
        <v>651</v>
      </c>
      <c r="F113" s="106" t="s">
        <v>1215</v>
      </c>
      <c r="I113" s="94"/>
      <c r="L113" s="3"/>
      <c r="M113" s="100"/>
      <c r="T113" s="99"/>
      <c r="AT113" s="7" t="s">
        <v>651</v>
      </c>
      <c r="AU113" s="7" t="s">
        <v>365</v>
      </c>
    </row>
    <row r="114" spans="2:65" s="2" customFormat="1" ht="58.5">
      <c r="B114" s="3"/>
      <c r="D114" s="96" t="s">
        <v>731</v>
      </c>
      <c r="F114" s="95" t="s">
        <v>1214</v>
      </c>
      <c r="I114" s="94"/>
      <c r="L114" s="3"/>
      <c r="M114" s="100"/>
      <c r="T114" s="99"/>
      <c r="AT114" s="7" t="s">
        <v>731</v>
      </c>
      <c r="AU114" s="7" t="s">
        <v>365</v>
      </c>
    </row>
    <row r="115" spans="2:65" s="2" customFormat="1" ht="24.2" customHeight="1">
      <c r="B115" s="3"/>
      <c r="C115" s="20" t="s">
        <v>347</v>
      </c>
      <c r="D115" s="20" t="s">
        <v>4</v>
      </c>
      <c r="E115" s="19" t="s">
        <v>1213</v>
      </c>
      <c r="F115" s="14" t="s">
        <v>1212</v>
      </c>
      <c r="G115" s="18" t="s">
        <v>735</v>
      </c>
      <c r="H115" s="17">
        <v>3.3690000000000002</v>
      </c>
      <c r="I115" s="16"/>
      <c r="J115" s="15">
        <f>ROUND(I115*H115,2)</f>
        <v>0</v>
      </c>
      <c r="K115" s="14" t="s">
        <v>654</v>
      </c>
      <c r="L115" s="3"/>
      <c r="M115" s="24" t="s">
        <v>6</v>
      </c>
      <c r="N115" s="23" t="s">
        <v>5</v>
      </c>
      <c r="P115" s="22">
        <f>O115*H115</f>
        <v>0</v>
      </c>
      <c r="Q115" s="22">
        <v>0</v>
      </c>
      <c r="R115" s="22">
        <f>Q115*H115</f>
        <v>0</v>
      </c>
      <c r="S115" s="22">
        <v>0</v>
      </c>
      <c r="T115" s="21">
        <f>S115*H115</f>
        <v>0</v>
      </c>
      <c r="AR115" s="6" t="s">
        <v>1</v>
      </c>
      <c r="AT115" s="6" t="s">
        <v>4</v>
      </c>
      <c r="AU115" s="6" t="s">
        <v>365</v>
      </c>
      <c r="AY115" s="7" t="s">
        <v>3</v>
      </c>
      <c r="BE115" s="8">
        <f>IF(N115="základní",J115,0)</f>
        <v>0</v>
      </c>
      <c r="BF115" s="8">
        <f>IF(N115="snížená",J115,0)</f>
        <v>0</v>
      </c>
      <c r="BG115" s="8">
        <f>IF(N115="zákl. přenesená",J115,0)</f>
        <v>0</v>
      </c>
      <c r="BH115" s="8">
        <f>IF(N115="sníž. přenesená",J115,0)</f>
        <v>0</v>
      </c>
      <c r="BI115" s="8">
        <f>IF(N115="nulová",J115,0)</f>
        <v>0</v>
      </c>
      <c r="BJ115" s="7" t="s">
        <v>2</v>
      </c>
      <c r="BK115" s="8">
        <f>ROUND(I115*H115,2)</f>
        <v>0</v>
      </c>
      <c r="BL115" s="7" t="s">
        <v>1</v>
      </c>
      <c r="BM115" s="6" t="s">
        <v>2618</v>
      </c>
    </row>
    <row r="116" spans="2:65" s="2" customFormat="1">
      <c r="B116" s="3"/>
      <c r="D116" s="107" t="s">
        <v>651</v>
      </c>
      <c r="F116" s="106" t="s">
        <v>1210</v>
      </c>
      <c r="I116" s="94"/>
      <c r="L116" s="3"/>
      <c r="M116" s="100"/>
      <c r="T116" s="99"/>
      <c r="AT116" s="7" t="s">
        <v>651</v>
      </c>
      <c r="AU116" s="7" t="s">
        <v>365</v>
      </c>
    </row>
    <row r="117" spans="2:65" s="2" customFormat="1" ht="39">
      <c r="B117" s="3"/>
      <c r="D117" s="96" t="s">
        <v>731</v>
      </c>
      <c r="F117" s="95" t="s">
        <v>1209</v>
      </c>
      <c r="I117" s="94"/>
      <c r="L117" s="3"/>
      <c r="M117" s="100"/>
      <c r="T117" s="99"/>
      <c r="AT117" s="7" t="s">
        <v>731</v>
      </c>
      <c r="AU117" s="7" t="s">
        <v>365</v>
      </c>
    </row>
    <row r="118" spans="2:65" s="108" customFormat="1">
      <c r="B118" s="112"/>
      <c r="D118" s="96" t="s">
        <v>704</v>
      </c>
      <c r="E118" s="109" t="s">
        <v>6</v>
      </c>
      <c r="F118" s="115" t="s">
        <v>2617</v>
      </c>
      <c r="H118" s="114">
        <v>3.3690000000000002</v>
      </c>
      <c r="I118" s="113"/>
      <c r="L118" s="112"/>
      <c r="M118" s="111"/>
      <c r="T118" s="110"/>
      <c r="AT118" s="109" t="s">
        <v>704</v>
      </c>
      <c r="AU118" s="109" t="s">
        <v>365</v>
      </c>
      <c r="AV118" s="108" t="s">
        <v>365</v>
      </c>
      <c r="AW118" s="108" t="s">
        <v>703</v>
      </c>
      <c r="AX118" s="108" t="s">
        <v>2</v>
      </c>
      <c r="AY118" s="109" t="s">
        <v>3</v>
      </c>
    </row>
    <row r="119" spans="2:65" s="25" customFormat="1" ht="22.9" customHeight="1">
      <c r="B119" s="32"/>
      <c r="D119" s="27" t="s">
        <v>26</v>
      </c>
      <c r="E119" s="98" t="s">
        <v>2616</v>
      </c>
      <c r="F119" s="98" t="s">
        <v>2615</v>
      </c>
      <c r="I119" s="34"/>
      <c r="J119" s="97">
        <f>BK119</f>
        <v>0</v>
      </c>
      <c r="L119" s="32"/>
      <c r="M119" s="31"/>
      <c r="P119" s="30">
        <f>SUM(P120:P122)</f>
        <v>0</v>
      </c>
      <c r="R119" s="30">
        <f>SUM(R120:R122)</f>
        <v>0</v>
      </c>
      <c r="T119" s="29">
        <f>SUM(T120:T122)</f>
        <v>0</v>
      </c>
      <c r="AR119" s="27" t="s">
        <v>2</v>
      </c>
      <c r="AT119" s="28" t="s">
        <v>26</v>
      </c>
      <c r="AU119" s="28" t="s">
        <v>2</v>
      </c>
      <c r="AY119" s="27" t="s">
        <v>3</v>
      </c>
      <c r="BK119" s="26">
        <f>SUM(BK120:BK122)</f>
        <v>0</v>
      </c>
    </row>
    <row r="120" spans="2:65" s="2" customFormat="1" ht="33" customHeight="1">
      <c r="B120" s="3"/>
      <c r="C120" s="20" t="s">
        <v>344</v>
      </c>
      <c r="D120" s="20" t="s">
        <v>4</v>
      </c>
      <c r="E120" s="19" t="s">
        <v>2614</v>
      </c>
      <c r="F120" s="14" t="s">
        <v>2613</v>
      </c>
      <c r="G120" s="18" t="s">
        <v>735</v>
      </c>
      <c r="H120" s="17">
        <v>8.0000000000000002E-3</v>
      </c>
      <c r="I120" s="16"/>
      <c r="J120" s="15">
        <f>ROUND(I120*H120,2)</f>
        <v>0</v>
      </c>
      <c r="K120" s="14" t="s">
        <v>654</v>
      </c>
      <c r="L120" s="3"/>
      <c r="M120" s="24" t="s">
        <v>6</v>
      </c>
      <c r="N120" s="23" t="s">
        <v>5</v>
      </c>
      <c r="P120" s="22">
        <f>O120*H120</f>
        <v>0</v>
      </c>
      <c r="Q120" s="22">
        <v>0</v>
      </c>
      <c r="R120" s="22">
        <f>Q120*H120</f>
        <v>0</v>
      </c>
      <c r="S120" s="22">
        <v>0</v>
      </c>
      <c r="T120" s="21">
        <f>S120*H120</f>
        <v>0</v>
      </c>
      <c r="AR120" s="6" t="s">
        <v>1</v>
      </c>
      <c r="AT120" s="6" t="s">
        <v>4</v>
      </c>
      <c r="AU120" s="6" t="s">
        <v>365</v>
      </c>
      <c r="AY120" s="7" t="s">
        <v>3</v>
      </c>
      <c r="BE120" s="8">
        <f>IF(N120="základní",J120,0)</f>
        <v>0</v>
      </c>
      <c r="BF120" s="8">
        <f>IF(N120="snížená",J120,0)</f>
        <v>0</v>
      </c>
      <c r="BG120" s="8">
        <f>IF(N120="zákl. přenesená",J120,0)</f>
        <v>0</v>
      </c>
      <c r="BH120" s="8">
        <f>IF(N120="sníž. přenesená",J120,0)</f>
        <v>0</v>
      </c>
      <c r="BI120" s="8">
        <f>IF(N120="nulová",J120,0)</f>
        <v>0</v>
      </c>
      <c r="BJ120" s="7" t="s">
        <v>2</v>
      </c>
      <c r="BK120" s="8">
        <f>ROUND(I120*H120,2)</f>
        <v>0</v>
      </c>
      <c r="BL120" s="7" t="s">
        <v>1</v>
      </c>
      <c r="BM120" s="6" t="s">
        <v>2612</v>
      </c>
    </row>
    <row r="121" spans="2:65" s="2" customFormat="1">
      <c r="B121" s="3"/>
      <c r="D121" s="107" t="s">
        <v>651</v>
      </c>
      <c r="F121" s="106" t="s">
        <v>2611</v>
      </c>
      <c r="I121" s="94"/>
      <c r="L121" s="3"/>
      <c r="M121" s="100"/>
      <c r="T121" s="99"/>
      <c r="AT121" s="7" t="s">
        <v>651</v>
      </c>
      <c r="AU121" s="7" t="s">
        <v>365</v>
      </c>
    </row>
    <row r="122" spans="2:65" s="2" customFormat="1" ht="58.5">
      <c r="B122" s="3"/>
      <c r="D122" s="96" t="s">
        <v>731</v>
      </c>
      <c r="F122" s="95" t="s">
        <v>2610</v>
      </c>
      <c r="I122" s="94"/>
      <c r="L122" s="3"/>
      <c r="M122" s="100"/>
      <c r="T122" s="99"/>
      <c r="AT122" s="7" t="s">
        <v>731</v>
      </c>
      <c r="AU122" s="7" t="s">
        <v>365</v>
      </c>
    </row>
    <row r="123" spans="2:65" s="25" customFormat="1" ht="25.9" customHeight="1">
      <c r="B123" s="32"/>
      <c r="D123" s="27" t="s">
        <v>26</v>
      </c>
      <c r="E123" s="35" t="s">
        <v>1207</v>
      </c>
      <c r="F123" s="35" t="s">
        <v>1207</v>
      </c>
      <c r="I123" s="34"/>
      <c r="J123" s="33">
        <f>BK123</f>
        <v>0</v>
      </c>
      <c r="L123" s="32"/>
      <c r="M123" s="31"/>
      <c r="P123" s="30">
        <f>P124+P148+P165+P309+P447+P497+P544</f>
        <v>0</v>
      </c>
      <c r="R123" s="30">
        <f>R124+R148+R165+R309+R447+R497+R544</f>
        <v>9.7875550000000011</v>
      </c>
      <c r="T123" s="29">
        <f>T124+T148+T165+T309+T447+T497+T544</f>
        <v>3.4903319999999995</v>
      </c>
      <c r="AR123" s="27" t="s">
        <v>365</v>
      </c>
      <c r="AT123" s="28" t="s">
        <v>26</v>
      </c>
      <c r="AU123" s="28" t="s">
        <v>25</v>
      </c>
      <c r="AY123" s="27" t="s">
        <v>3</v>
      </c>
      <c r="BK123" s="26">
        <f>BK124+BK148+BK165+BK309+BK447+BK497+BK544</f>
        <v>0</v>
      </c>
    </row>
    <row r="124" spans="2:65" s="25" customFormat="1" ht="22.9" customHeight="1">
      <c r="B124" s="32"/>
      <c r="D124" s="27" t="s">
        <v>26</v>
      </c>
      <c r="E124" s="98" t="s">
        <v>1205</v>
      </c>
      <c r="F124" s="98" t="s">
        <v>1204</v>
      </c>
      <c r="I124" s="34"/>
      <c r="J124" s="97">
        <f>BK124</f>
        <v>0</v>
      </c>
      <c r="L124" s="32"/>
      <c r="M124" s="31"/>
      <c r="P124" s="30">
        <f>SUM(P125:P147)</f>
        <v>0</v>
      </c>
      <c r="R124" s="30">
        <f>SUM(R125:R147)</f>
        <v>1.0382199999999997</v>
      </c>
      <c r="T124" s="29">
        <f>SUM(T125:T147)</f>
        <v>0.12119999999999999</v>
      </c>
      <c r="AR124" s="27" t="s">
        <v>365</v>
      </c>
      <c r="AT124" s="28" t="s">
        <v>26</v>
      </c>
      <c r="AU124" s="28" t="s">
        <v>2</v>
      </c>
      <c r="AY124" s="27" t="s">
        <v>3</v>
      </c>
      <c r="BK124" s="26">
        <f>SUM(BK125:BK147)</f>
        <v>0</v>
      </c>
    </row>
    <row r="125" spans="2:65" s="2" customFormat="1" ht="24.2" customHeight="1">
      <c r="B125" s="3"/>
      <c r="C125" s="20" t="s">
        <v>341</v>
      </c>
      <c r="D125" s="20" t="s">
        <v>4</v>
      </c>
      <c r="E125" s="19" t="s">
        <v>2609</v>
      </c>
      <c r="F125" s="14" t="s">
        <v>2608</v>
      </c>
      <c r="G125" s="18" t="s">
        <v>691</v>
      </c>
      <c r="H125" s="17">
        <v>104</v>
      </c>
      <c r="I125" s="16"/>
      <c r="J125" s="15">
        <f>ROUND(I125*H125,2)</f>
        <v>0</v>
      </c>
      <c r="K125" s="14" t="s">
        <v>7</v>
      </c>
      <c r="L125" s="3"/>
      <c r="M125" s="24" t="s">
        <v>6</v>
      </c>
      <c r="N125" s="23" t="s">
        <v>5</v>
      </c>
      <c r="P125" s="22">
        <f>O125*H125</f>
        <v>0</v>
      </c>
      <c r="Q125" s="22">
        <v>0</v>
      </c>
      <c r="R125" s="22">
        <f>Q125*H125</f>
        <v>0</v>
      </c>
      <c r="S125" s="22">
        <v>0</v>
      </c>
      <c r="T125" s="21">
        <f>S125*H125</f>
        <v>0</v>
      </c>
      <c r="AR125" s="6" t="s">
        <v>328</v>
      </c>
      <c r="AT125" s="6" t="s">
        <v>4</v>
      </c>
      <c r="AU125" s="6" t="s">
        <v>365</v>
      </c>
      <c r="AY125" s="7" t="s">
        <v>3</v>
      </c>
      <c r="BE125" s="8">
        <f>IF(N125="základní",J125,0)</f>
        <v>0</v>
      </c>
      <c r="BF125" s="8">
        <f>IF(N125="snížená",J125,0)</f>
        <v>0</v>
      </c>
      <c r="BG125" s="8">
        <f>IF(N125="zákl. přenesená",J125,0)</f>
        <v>0</v>
      </c>
      <c r="BH125" s="8">
        <f>IF(N125="sníž. přenesená",J125,0)</f>
        <v>0</v>
      </c>
      <c r="BI125" s="8">
        <f>IF(N125="nulová",J125,0)</f>
        <v>0</v>
      </c>
      <c r="BJ125" s="7" t="s">
        <v>2</v>
      </c>
      <c r="BK125" s="8">
        <f>ROUND(I125*H125,2)</f>
        <v>0</v>
      </c>
      <c r="BL125" s="7" t="s">
        <v>328</v>
      </c>
      <c r="BM125" s="6" t="s">
        <v>2607</v>
      </c>
    </row>
    <row r="126" spans="2:65" s="2" customFormat="1" ht="55.5" customHeight="1">
      <c r="B126" s="3"/>
      <c r="C126" s="125" t="s">
        <v>339</v>
      </c>
      <c r="D126" s="125" t="s">
        <v>750</v>
      </c>
      <c r="E126" s="124" t="s">
        <v>2606</v>
      </c>
      <c r="F126" s="119" t="s">
        <v>2605</v>
      </c>
      <c r="G126" s="123" t="s">
        <v>691</v>
      </c>
      <c r="H126" s="122">
        <v>104</v>
      </c>
      <c r="I126" s="121"/>
      <c r="J126" s="120">
        <f>ROUND(I126*H126,2)</f>
        <v>0</v>
      </c>
      <c r="K126" s="119" t="s">
        <v>7</v>
      </c>
      <c r="L126" s="118"/>
      <c r="M126" s="117" t="s">
        <v>6</v>
      </c>
      <c r="N126" s="116" t="s">
        <v>5</v>
      </c>
      <c r="P126" s="22">
        <f>O126*H126</f>
        <v>0</v>
      </c>
      <c r="Q126" s="22">
        <v>1E-3</v>
      </c>
      <c r="R126" s="22">
        <f>Q126*H126</f>
        <v>0.10400000000000001</v>
      </c>
      <c r="S126" s="22">
        <v>0</v>
      </c>
      <c r="T126" s="21">
        <f>S126*H126</f>
        <v>0</v>
      </c>
      <c r="AR126" s="6" t="s">
        <v>283</v>
      </c>
      <c r="AT126" s="6" t="s">
        <v>750</v>
      </c>
      <c r="AU126" s="6" t="s">
        <v>365</v>
      </c>
      <c r="AY126" s="7" t="s">
        <v>3</v>
      </c>
      <c r="BE126" s="8">
        <f>IF(N126="základní",J126,0)</f>
        <v>0</v>
      </c>
      <c r="BF126" s="8">
        <f>IF(N126="snížená",J126,0)</f>
        <v>0</v>
      </c>
      <c r="BG126" s="8">
        <f>IF(N126="zákl. přenesená",J126,0)</f>
        <v>0</v>
      </c>
      <c r="BH126" s="8">
        <f>IF(N126="sníž. přenesená",J126,0)</f>
        <v>0</v>
      </c>
      <c r="BI126" s="8">
        <f>IF(N126="nulová",J126,0)</f>
        <v>0</v>
      </c>
      <c r="BJ126" s="7" t="s">
        <v>2</v>
      </c>
      <c r="BK126" s="8">
        <f>ROUND(I126*H126,2)</f>
        <v>0</v>
      </c>
      <c r="BL126" s="7" t="s">
        <v>328</v>
      </c>
      <c r="BM126" s="6" t="s">
        <v>2604</v>
      </c>
    </row>
    <row r="127" spans="2:65" s="2" customFormat="1" ht="24.2" customHeight="1">
      <c r="B127" s="3"/>
      <c r="C127" s="20" t="s">
        <v>336</v>
      </c>
      <c r="D127" s="20" t="s">
        <v>4</v>
      </c>
      <c r="E127" s="19" t="s">
        <v>2603</v>
      </c>
      <c r="F127" s="14" t="s">
        <v>2602</v>
      </c>
      <c r="G127" s="18" t="s">
        <v>691</v>
      </c>
      <c r="H127" s="17">
        <v>116</v>
      </c>
      <c r="I127" s="16"/>
      <c r="J127" s="15">
        <f>ROUND(I127*H127,2)</f>
        <v>0</v>
      </c>
      <c r="K127" s="14" t="s">
        <v>7</v>
      </c>
      <c r="L127" s="3"/>
      <c r="M127" s="24" t="s">
        <v>6</v>
      </c>
      <c r="N127" s="23" t="s">
        <v>5</v>
      </c>
      <c r="P127" s="22">
        <f>O127*H127</f>
        <v>0</v>
      </c>
      <c r="Q127" s="22">
        <v>0</v>
      </c>
      <c r="R127" s="22">
        <f>Q127*H127</f>
        <v>0</v>
      </c>
      <c r="S127" s="22">
        <v>0</v>
      </c>
      <c r="T127" s="21">
        <f>S127*H127</f>
        <v>0</v>
      </c>
      <c r="AR127" s="6" t="s">
        <v>328</v>
      </c>
      <c r="AT127" s="6" t="s">
        <v>4</v>
      </c>
      <c r="AU127" s="6" t="s">
        <v>365</v>
      </c>
      <c r="AY127" s="7" t="s">
        <v>3</v>
      </c>
      <c r="BE127" s="8">
        <f>IF(N127="základní",J127,0)</f>
        <v>0</v>
      </c>
      <c r="BF127" s="8">
        <f>IF(N127="snížená",J127,0)</f>
        <v>0</v>
      </c>
      <c r="BG127" s="8">
        <f>IF(N127="zákl. přenesená",J127,0)</f>
        <v>0</v>
      </c>
      <c r="BH127" s="8">
        <f>IF(N127="sníž. přenesená",J127,0)</f>
        <v>0</v>
      </c>
      <c r="BI127" s="8">
        <f>IF(N127="nulová",J127,0)</f>
        <v>0</v>
      </c>
      <c r="BJ127" s="7" t="s">
        <v>2</v>
      </c>
      <c r="BK127" s="8">
        <f>ROUND(I127*H127,2)</f>
        <v>0</v>
      </c>
      <c r="BL127" s="7" t="s">
        <v>328</v>
      </c>
      <c r="BM127" s="6" t="s">
        <v>2601</v>
      </c>
    </row>
    <row r="128" spans="2:65" s="2" customFormat="1" ht="24.2" customHeight="1">
      <c r="B128" s="3"/>
      <c r="C128" s="125" t="s">
        <v>334</v>
      </c>
      <c r="D128" s="125" t="s">
        <v>750</v>
      </c>
      <c r="E128" s="124" t="s">
        <v>2596</v>
      </c>
      <c r="F128" s="119" t="s">
        <v>2595</v>
      </c>
      <c r="G128" s="123" t="s">
        <v>691</v>
      </c>
      <c r="H128" s="122">
        <v>116</v>
      </c>
      <c r="I128" s="121"/>
      <c r="J128" s="120">
        <f>ROUND(I128*H128,2)</f>
        <v>0</v>
      </c>
      <c r="K128" s="119" t="s">
        <v>7</v>
      </c>
      <c r="L128" s="118"/>
      <c r="M128" s="117" t="s">
        <v>6</v>
      </c>
      <c r="N128" s="116" t="s">
        <v>5</v>
      </c>
      <c r="P128" s="22">
        <f>O128*H128</f>
        <v>0</v>
      </c>
      <c r="Q128" s="22">
        <v>2.8E-3</v>
      </c>
      <c r="R128" s="22">
        <f>Q128*H128</f>
        <v>0.32479999999999998</v>
      </c>
      <c r="S128" s="22">
        <v>0</v>
      </c>
      <c r="T128" s="21">
        <f>S128*H128</f>
        <v>0</v>
      </c>
      <c r="AR128" s="6" t="s">
        <v>283</v>
      </c>
      <c r="AT128" s="6" t="s">
        <v>750</v>
      </c>
      <c r="AU128" s="6" t="s">
        <v>365</v>
      </c>
      <c r="AY128" s="7" t="s">
        <v>3</v>
      </c>
      <c r="BE128" s="8">
        <f>IF(N128="základní",J128,0)</f>
        <v>0</v>
      </c>
      <c r="BF128" s="8">
        <f>IF(N128="snížená",J128,0)</f>
        <v>0</v>
      </c>
      <c r="BG128" s="8">
        <f>IF(N128="zákl. přenesená",J128,0)</f>
        <v>0</v>
      </c>
      <c r="BH128" s="8">
        <f>IF(N128="sníž. přenesená",J128,0)</f>
        <v>0</v>
      </c>
      <c r="BI128" s="8">
        <f>IF(N128="nulová",J128,0)</f>
        <v>0</v>
      </c>
      <c r="BJ128" s="7" t="s">
        <v>2</v>
      </c>
      <c r="BK128" s="8">
        <f>ROUND(I128*H128,2)</f>
        <v>0</v>
      </c>
      <c r="BL128" s="7" t="s">
        <v>328</v>
      </c>
      <c r="BM128" s="6" t="s">
        <v>2600</v>
      </c>
    </row>
    <row r="129" spans="2:65" s="2" customFormat="1" ht="24.2" customHeight="1">
      <c r="B129" s="3"/>
      <c r="C129" s="20" t="s">
        <v>332</v>
      </c>
      <c r="D129" s="20" t="s">
        <v>4</v>
      </c>
      <c r="E129" s="19" t="s">
        <v>2599</v>
      </c>
      <c r="F129" s="14" t="s">
        <v>2598</v>
      </c>
      <c r="G129" s="18" t="s">
        <v>691</v>
      </c>
      <c r="H129" s="17">
        <v>80</v>
      </c>
      <c r="I129" s="16"/>
      <c r="J129" s="15">
        <f>ROUND(I129*H129,2)</f>
        <v>0</v>
      </c>
      <c r="K129" s="14" t="s">
        <v>7</v>
      </c>
      <c r="L129" s="3"/>
      <c r="M129" s="24" t="s">
        <v>6</v>
      </c>
      <c r="N129" s="23" t="s">
        <v>5</v>
      </c>
      <c r="P129" s="22">
        <f>O129*H129</f>
        <v>0</v>
      </c>
      <c r="Q129" s="22">
        <v>0</v>
      </c>
      <c r="R129" s="22">
        <f>Q129*H129</f>
        <v>0</v>
      </c>
      <c r="S129" s="22">
        <v>0</v>
      </c>
      <c r="T129" s="21">
        <f>S129*H129</f>
        <v>0</v>
      </c>
      <c r="AR129" s="6" t="s">
        <v>328</v>
      </c>
      <c r="AT129" s="6" t="s">
        <v>4</v>
      </c>
      <c r="AU129" s="6" t="s">
        <v>365</v>
      </c>
      <c r="AY129" s="7" t="s">
        <v>3</v>
      </c>
      <c r="BE129" s="8">
        <f>IF(N129="základní",J129,0)</f>
        <v>0</v>
      </c>
      <c r="BF129" s="8">
        <f>IF(N129="snížená",J129,0)</f>
        <v>0</v>
      </c>
      <c r="BG129" s="8">
        <f>IF(N129="zákl. přenesená",J129,0)</f>
        <v>0</v>
      </c>
      <c r="BH129" s="8">
        <f>IF(N129="sníž. přenesená",J129,0)</f>
        <v>0</v>
      </c>
      <c r="BI129" s="8">
        <f>IF(N129="nulová",J129,0)</f>
        <v>0</v>
      </c>
      <c r="BJ129" s="7" t="s">
        <v>2</v>
      </c>
      <c r="BK129" s="8">
        <f>ROUND(I129*H129,2)</f>
        <v>0</v>
      </c>
      <c r="BL129" s="7" t="s">
        <v>328</v>
      </c>
      <c r="BM129" s="6" t="s">
        <v>2597</v>
      </c>
    </row>
    <row r="130" spans="2:65" s="2" customFormat="1" ht="24.2" customHeight="1">
      <c r="B130" s="3"/>
      <c r="C130" s="125" t="s">
        <v>328</v>
      </c>
      <c r="D130" s="125" t="s">
        <v>750</v>
      </c>
      <c r="E130" s="124" t="s">
        <v>2596</v>
      </c>
      <c r="F130" s="119" t="s">
        <v>2595</v>
      </c>
      <c r="G130" s="123" t="s">
        <v>691</v>
      </c>
      <c r="H130" s="122">
        <v>160</v>
      </c>
      <c r="I130" s="121"/>
      <c r="J130" s="120">
        <f>ROUND(I130*H130,2)</f>
        <v>0</v>
      </c>
      <c r="K130" s="119" t="s">
        <v>7</v>
      </c>
      <c r="L130" s="118"/>
      <c r="M130" s="117" t="s">
        <v>6</v>
      </c>
      <c r="N130" s="116" t="s">
        <v>5</v>
      </c>
      <c r="P130" s="22">
        <f>O130*H130</f>
        <v>0</v>
      </c>
      <c r="Q130" s="22">
        <v>2.8E-3</v>
      </c>
      <c r="R130" s="22">
        <f>Q130*H130</f>
        <v>0.44800000000000001</v>
      </c>
      <c r="S130" s="22">
        <v>0</v>
      </c>
      <c r="T130" s="21">
        <f>S130*H130</f>
        <v>0</v>
      </c>
      <c r="AR130" s="6" t="s">
        <v>283</v>
      </c>
      <c r="AT130" s="6" t="s">
        <v>750</v>
      </c>
      <c r="AU130" s="6" t="s">
        <v>365</v>
      </c>
      <c r="AY130" s="7" t="s">
        <v>3</v>
      </c>
      <c r="BE130" s="8">
        <f>IF(N130="základní",J130,0)</f>
        <v>0</v>
      </c>
      <c r="BF130" s="8">
        <f>IF(N130="snížená",J130,0)</f>
        <v>0</v>
      </c>
      <c r="BG130" s="8">
        <f>IF(N130="zákl. přenesená",J130,0)</f>
        <v>0</v>
      </c>
      <c r="BH130" s="8">
        <f>IF(N130="sníž. přenesená",J130,0)</f>
        <v>0</v>
      </c>
      <c r="BI130" s="8">
        <f>IF(N130="nulová",J130,0)</f>
        <v>0</v>
      </c>
      <c r="BJ130" s="7" t="s">
        <v>2</v>
      </c>
      <c r="BK130" s="8">
        <f>ROUND(I130*H130,2)</f>
        <v>0</v>
      </c>
      <c r="BL130" s="7" t="s">
        <v>328</v>
      </c>
      <c r="BM130" s="6" t="s">
        <v>2594</v>
      </c>
    </row>
    <row r="131" spans="2:65" s="2" customFormat="1" ht="24.2" customHeight="1">
      <c r="B131" s="3"/>
      <c r="C131" s="20" t="s">
        <v>323</v>
      </c>
      <c r="D131" s="20" t="s">
        <v>4</v>
      </c>
      <c r="E131" s="19" t="s">
        <v>2593</v>
      </c>
      <c r="F131" s="14" t="s">
        <v>2592</v>
      </c>
      <c r="G131" s="18" t="s">
        <v>691</v>
      </c>
      <c r="H131" s="17">
        <v>58</v>
      </c>
      <c r="I131" s="16"/>
      <c r="J131" s="15">
        <f>ROUND(I131*H131,2)</f>
        <v>0</v>
      </c>
      <c r="K131" s="14" t="s">
        <v>7</v>
      </c>
      <c r="L131" s="3"/>
      <c r="M131" s="24" t="s">
        <v>6</v>
      </c>
      <c r="N131" s="23" t="s">
        <v>5</v>
      </c>
      <c r="P131" s="22">
        <f>O131*H131</f>
        <v>0</v>
      </c>
      <c r="Q131" s="22">
        <v>0</v>
      </c>
      <c r="R131" s="22">
        <f>Q131*H131</f>
        <v>0</v>
      </c>
      <c r="S131" s="22">
        <v>0</v>
      </c>
      <c r="T131" s="21">
        <f>S131*H131</f>
        <v>0</v>
      </c>
      <c r="AR131" s="6" t="s">
        <v>328</v>
      </c>
      <c r="AT131" s="6" t="s">
        <v>4</v>
      </c>
      <c r="AU131" s="6" t="s">
        <v>365</v>
      </c>
      <c r="AY131" s="7" t="s">
        <v>3</v>
      </c>
      <c r="BE131" s="8">
        <f>IF(N131="základní",J131,0)</f>
        <v>0</v>
      </c>
      <c r="BF131" s="8">
        <f>IF(N131="snížená",J131,0)</f>
        <v>0</v>
      </c>
      <c r="BG131" s="8">
        <f>IF(N131="zákl. přenesená",J131,0)</f>
        <v>0</v>
      </c>
      <c r="BH131" s="8">
        <f>IF(N131="sníž. přenesená",J131,0)</f>
        <v>0</v>
      </c>
      <c r="BI131" s="8">
        <f>IF(N131="nulová",J131,0)</f>
        <v>0</v>
      </c>
      <c r="BJ131" s="7" t="s">
        <v>2</v>
      </c>
      <c r="BK131" s="8">
        <f>ROUND(I131*H131,2)</f>
        <v>0</v>
      </c>
      <c r="BL131" s="7" t="s">
        <v>328</v>
      </c>
      <c r="BM131" s="6" t="s">
        <v>2591</v>
      </c>
    </row>
    <row r="132" spans="2:65" s="2" customFormat="1" ht="24.2" customHeight="1">
      <c r="B132" s="3"/>
      <c r="C132" s="125" t="s">
        <v>320</v>
      </c>
      <c r="D132" s="125" t="s">
        <v>750</v>
      </c>
      <c r="E132" s="124" t="s">
        <v>2590</v>
      </c>
      <c r="F132" s="119" t="s">
        <v>2589</v>
      </c>
      <c r="G132" s="123" t="s">
        <v>691</v>
      </c>
      <c r="H132" s="122">
        <v>58</v>
      </c>
      <c r="I132" s="121"/>
      <c r="J132" s="120">
        <f>ROUND(I132*H132,2)</f>
        <v>0</v>
      </c>
      <c r="K132" s="119" t="s">
        <v>7</v>
      </c>
      <c r="L132" s="118"/>
      <c r="M132" s="117" t="s">
        <v>6</v>
      </c>
      <c r="N132" s="116" t="s">
        <v>5</v>
      </c>
      <c r="P132" s="22">
        <f>O132*H132</f>
        <v>0</v>
      </c>
      <c r="Q132" s="22">
        <v>2.2000000000000001E-3</v>
      </c>
      <c r="R132" s="22">
        <f>Q132*H132</f>
        <v>0.12760000000000002</v>
      </c>
      <c r="S132" s="22">
        <v>0</v>
      </c>
      <c r="T132" s="21">
        <f>S132*H132</f>
        <v>0</v>
      </c>
      <c r="AR132" s="6" t="s">
        <v>283</v>
      </c>
      <c r="AT132" s="6" t="s">
        <v>750</v>
      </c>
      <c r="AU132" s="6" t="s">
        <v>365</v>
      </c>
      <c r="AY132" s="7" t="s">
        <v>3</v>
      </c>
      <c r="BE132" s="8">
        <f>IF(N132="základní",J132,0)</f>
        <v>0</v>
      </c>
      <c r="BF132" s="8">
        <f>IF(N132="snížená",J132,0)</f>
        <v>0</v>
      </c>
      <c r="BG132" s="8">
        <f>IF(N132="zákl. přenesená",J132,0)</f>
        <v>0</v>
      </c>
      <c r="BH132" s="8">
        <f>IF(N132="sníž. přenesená",J132,0)</f>
        <v>0</v>
      </c>
      <c r="BI132" s="8">
        <f>IF(N132="nulová",J132,0)</f>
        <v>0</v>
      </c>
      <c r="BJ132" s="7" t="s">
        <v>2</v>
      </c>
      <c r="BK132" s="8">
        <f>ROUND(I132*H132,2)</f>
        <v>0</v>
      </c>
      <c r="BL132" s="7" t="s">
        <v>328</v>
      </c>
      <c r="BM132" s="6" t="s">
        <v>2588</v>
      </c>
    </row>
    <row r="133" spans="2:65" s="2" customFormat="1" ht="16.5" customHeight="1">
      <c r="B133" s="3"/>
      <c r="C133" s="20" t="s">
        <v>317</v>
      </c>
      <c r="D133" s="20" t="s">
        <v>4</v>
      </c>
      <c r="E133" s="19" t="s">
        <v>2587</v>
      </c>
      <c r="F133" s="14" t="s">
        <v>1184</v>
      </c>
      <c r="G133" s="18" t="s">
        <v>21</v>
      </c>
      <c r="H133" s="17">
        <v>4</v>
      </c>
      <c r="I133" s="16"/>
      <c r="J133" s="15">
        <f>ROUND(I133*H133,2)</f>
        <v>0</v>
      </c>
      <c r="K133" s="14" t="s">
        <v>7</v>
      </c>
      <c r="L133" s="3"/>
      <c r="M133" s="24" t="s">
        <v>6</v>
      </c>
      <c r="N133" s="23" t="s">
        <v>5</v>
      </c>
      <c r="P133" s="22">
        <f>O133*H133</f>
        <v>0</v>
      </c>
      <c r="Q133" s="22">
        <v>0</v>
      </c>
      <c r="R133" s="22">
        <f>Q133*H133</f>
        <v>0</v>
      </c>
      <c r="S133" s="22">
        <v>0</v>
      </c>
      <c r="T133" s="21">
        <f>S133*H133</f>
        <v>0</v>
      </c>
      <c r="AR133" s="6" t="s">
        <v>328</v>
      </c>
      <c r="AT133" s="6" t="s">
        <v>4</v>
      </c>
      <c r="AU133" s="6" t="s">
        <v>365</v>
      </c>
      <c r="AY133" s="7" t="s">
        <v>3</v>
      </c>
      <c r="BE133" s="8">
        <f>IF(N133="základní",J133,0)</f>
        <v>0</v>
      </c>
      <c r="BF133" s="8">
        <f>IF(N133="snížená",J133,0)</f>
        <v>0</v>
      </c>
      <c r="BG133" s="8">
        <f>IF(N133="zákl. přenesená",J133,0)</f>
        <v>0</v>
      </c>
      <c r="BH133" s="8">
        <f>IF(N133="sníž. přenesená",J133,0)</f>
        <v>0</v>
      </c>
      <c r="BI133" s="8">
        <f>IF(N133="nulová",J133,0)</f>
        <v>0</v>
      </c>
      <c r="BJ133" s="7" t="s">
        <v>2</v>
      </c>
      <c r="BK133" s="8">
        <f>ROUND(I133*H133,2)</f>
        <v>0</v>
      </c>
      <c r="BL133" s="7" t="s">
        <v>328</v>
      </c>
      <c r="BM133" s="6" t="s">
        <v>2586</v>
      </c>
    </row>
    <row r="134" spans="2:65" s="2" customFormat="1" ht="24.2" customHeight="1">
      <c r="B134" s="3"/>
      <c r="C134" s="125" t="s">
        <v>314</v>
      </c>
      <c r="D134" s="125" t="s">
        <v>750</v>
      </c>
      <c r="E134" s="124" t="s">
        <v>2585</v>
      </c>
      <c r="F134" s="119" t="s">
        <v>2584</v>
      </c>
      <c r="G134" s="123" t="s">
        <v>21</v>
      </c>
      <c r="H134" s="122">
        <v>4</v>
      </c>
      <c r="I134" s="121"/>
      <c r="J134" s="120">
        <f>ROUND(I134*H134,2)</f>
        <v>0</v>
      </c>
      <c r="K134" s="119" t="s">
        <v>7</v>
      </c>
      <c r="L134" s="118"/>
      <c r="M134" s="117" t="s">
        <v>6</v>
      </c>
      <c r="N134" s="116" t="s">
        <v>5</v>
      </c>
      <c r="P134" s="22">
        <f>O134*H134</f>
        <v>0</v>
      </c>
      <c r="Q134" s="22">
        <v>2.2000000000000001E-3</v>
      </c>
      <c r="R134" s="22">
        <f>Q134*H134</f>
        <v>8.8000000000000005E-3</v>
      </c>
      <c r="S134" s="22">
        <v>0</v>
      </c>
      <c r="T134" s="21">
        <f>S134*H134</f>
        <v>0</v>
      </c>
      <c r="AR134" s="6" t="s">
        <v>283</v>
      </c>
      <c r="AT134" s="6" t="s">
        <v>750</v>
      </c>
      <c r="AU134" s="6" t="s">
        <v>365</v>
      </c>
      <c r="AY134" s="7" t="s">
        <v>3</v>
      </c>
      <c r="BE134" s="8">
        <f>IF(N134="základní",J134,0)</f>
        <v>0</v>
      </c>
      <c r="BF134" s="8">
        <f>IF(N134="snížená",J134,0)</f>
        <v>0</v>
      </c>
      <c r="BG134" s="8">
        <f>IF(N134="zákl. přenesená",J134,0)</f>
        <v>0</v>
      </c>
      <c r="BH134" s="8">
        <f>IF(N134="sníž. přenesená",J134,0)</f>
        <v>0</v>
      </c>
      <c r="BI134" s="8">
        <f>IF(N134="nulová",J134,0)</f>
        <v>0</v>
      </c>
      <c r="BJ134" s="7" t="s">
        <v>2</v>
      </c>
      <c r="BK134" s="8">
        <f>ROUND(I134*H134,2)</f>
        <v>0</v>
      </c>
      <c r="BL134" s="7" t="s">
        <v>328</v>
      </c>
      <c r="BM134" s="6" t="s">
        <v>2583</v>
      </c>
    </row>
    <row r="135" spans="2:65" s="2" customFormat="1" ht="24.2" customHeight="1">
      <c r="B135" s="3"/>
      <c r="C135" s="20" t="s">
        <v>311</v>
      </c>
      <c r="D135" s="20" t="s">
        <v>4</v>
      </c>
      <c r="E135" s="19" t="s">
        <v>2582</v>
      </c>
      <c r="F135" s="14" t="s">
        <v>2581</v>
      </c>
      <c r="G135" s="18" t="s">
        <v>691</v>
      </c>
      <c r="H135" s="17">
        <v>31</v>
      </c>
      <c r="I135" s="16"/>
      <c r="J135" s="15">
        <f>ROUND(I135*H135,2)</f>
        <v>0</v>
      </c>
      <c r="K135" s="14" t="s">
        <v>7</v>
      </c>
      <c r="L135" s="3"/>
      <c r="M135" s="24" t="s">
        <v>6</v>
      </c>
      <c r="N135" s="23" t="s">
        <v>5</v>
      </c>
      <c r="P135" s="22">
        <f>O135*H135</f>
        <v>0</v>
      </c>
      <c r="Q135" s="22">
        <v>0</v>
      </c>
      <c r="R135" s="22">
        <f>Q135*H135</f>
        <v>0</v>
      </c>
      <c r="S135" s="22">
        <v>0</v>
      </c>
      <c r="T135" s="21">
        <f>S135*H135</f>
        <v>0</v>
      </c>
      <c r="AR135" s="6" t="s">
        <v>328</v>
      </c>
      <c r="AT135" s="6" t="s">
        <v>4</v>
      </c>
      <c r="AU135" s="6" t="s">
        <v>365</v>
      </c>
      <c r="AY135" s="7" t="s">
        <v>3</v>
      </c>
      <c r="BE135" s="8">
        <f>IF(N135="základní",J135,0)</f>
        <v>0</v>
      </c>
      <c r="BF135" s="8">
        <f>IF(N135="snížená",J135,0)</f>
        <v>0</v>
      </c>
      <c r="BG135" s="8">
        <f>IF(N135="zákl. přenesená",J135,0)</f>
        <v>0</v>
      </c>
      <c r="BH135" s="8">
        <f>IF(N135="sníž. přenesená",J135,0)</f>
        <v>0</v>
      </c>
      <c r="BI135" s="8">
        <f>IF(N135="nulová",J135,0)</f>
        <v>0</v>
      </c>
      <c r="BJ135" s="7" t="s">
        <v>2</v>
      </c>
      <c r="BK135" s="8">
        <f>ROUND(I135*H135,2)</f>
        <v>0</v>
      </c>
      <c r="BL135" s="7" t="s">
        <v>328</v>
      </c>
      <c r="BM135" s="6" t="s">
        <v>2580</v>
      </c>
    </row>
    <row r="136" spans="2:65" s="108" customFormat="1">
      <c r="B136" s="112"/>
      <c r="D136" s="96" t="s">
        <v>704</v>
      </c>
      <c r="E136" s="109" t="s">
        <v>6</v>
      </c>
      <c r="F136" s="115" t="s">
        <v>2579</v>
      </c>
      <c r="H136" s="114">
        <v>31</v>
      </c>
      <c r="I136" s="113"/>
      <c r="L136" s="112"/>
      <c r="M136" s="111"/>
      <c r="T136" s="110"/>
      <c r="AT136" s="109" t="s">
        <v>704</v>
      </c>
      <c r="AU136" s="109" t="s">
        <v>365</v>
      </c>
      <c r="AV136" s="108" t="s">
        <v>365</v>
      </c>
      <c r="AW136" s="108" t="s">
        <v>703</v>
      </c>
      <c r="AX136" s="108" t="s">
        <v>2</v>
      </c>
      <c r="AY136" s="109" t="s">
        <v>3</v>
      </c>
    </row>
    <row r="137" spans="2:65" s="269" customFormat="1">
      <c r="B137" s="273"/>
      <c r="D137" s="96" t="s">
        <v>704</v>
      </c>
      <c r="E137" s="270" t="s">
        <v>6</v>
      </c>
      <c r="F137" s="275" t="s">
        <v>2578</v>
      </c>
      <c r="H137" s="270" t="s">
        <v>6</v>
      </c>
      <c r="I137" s="274"/>
      <c r="L137" s="273"/>
      <c r="M137" s="272"/>
      <c r="T137" s="271"/>
      <c r="AT137" s="270" t="s">
        <v>704</v>
      </c>
      <c r="AU137" s="270" t="s">
        <v>365</v>
      </c>
      <c r="AV137" s="269" t="s">
        <v>2</v>
      </c>
      <c r="AW137" s="269" t="s">
        <v>703</v>
      </c>
      <c r="AX137" s="269" t="s">
        <v>25</v>
      </c>
      <c r="AY137" s="270" t="s">
        <v>3</v>
      </c>
    </row>
    <row r="138" spans="2:65" s="2" customFormat="1" ht="55.5" customHeight="1">
      <c r="B138" s="3"/>
      <c r="C138" s="125" t="s">
        <v>308</v>
      </c>
      <c r="D138" s="125" t="s">
        <v>750</v>
      </c>
      <c r="E138" s="124" t="s">
        <v>2577</v>
      </c>
      <c r="F138" s="119" t="s">
        <v>2576</v>
      </c>
      <c r="G138" s="123" t="s">
        <v>691</v>
      </c>
      <c r="H138" s="122">
        <v>31</v>
      </c>
      <c r="I138" s="121"/>
      <c r="J138" s="120">
        <f>ROUND(I138*H138,2)</f>
        <v>0</v>
      </c>
      <c r="K138" s="119" t="s">
        <v>7</v>
      </c>
      <c r="L138" s="118"/>
      <c r="M138" s="117" t="s">
        <v>6</v>
      </c>
      <c r="N138" s="116" t="s">
        <v>5</v>
      </c>
      <c r="P138" s="22">
        <f>O138*H138</f>
        <v>0</v>
      </c>
      <c r="Q138" s="22">
        <v>8.0000000000000004E-4</v>
      </c>
      <c r="R138" s="22">
        <f>Q138*H138</f>
        <v>2.4800000000000003E-2</v>
      </c>
      <c r="S138" s="22">
        <v>0</v>
      </c>
      <c r="T138" s="21">
        <f>S138*H138</f>
        <v>0</v>
      </c>
      <c r="AR138" s="6" t="s">
        <v>283</v>
      </c>
      <c r="AT138" s="6" t="s">
        <v>750</v>
      </c>
      <c r="AU138" s="6" t="s">
        <v>365</v>
      </c>
      <c r="AY138" s="7" t="s">
        <v>3</v>
      </c>
      <c r="BE138" s="8">
        <f>IF(N138="základní",J138,0)</f>
        <v>0</v>
      </c>
      <c r="BF138" s="8">
        <f>IF(N138="snížená",J138,0)</f>
        <v>0</v>
      </c>
      <c r="BG138" s="8">
        <f>IF(N138="zákl. přenesená",J138,0)</f>
        <v>0</v>
      </c>
      <c r="BH138" s="8">
        <f>IF(N138="sníž. přenesená",J138,0)</f>
        <v>0</v>
      </c>
      <c r="BI138" s="8">
        <f>IF(N138="nulová",J138,0)</f>
        <v>0</v>
      </c>
      <c r="BJ138" s="7" t="s">
        <v>2</v>
      </c>
      <c r="BK138" s="8">
        <f>ROUND(I138*H138,2)</f>
        <v>0</v>
      </c>
      <c r="BL138" s="7" t="s">
        <v>328</v>
      </c>
      <c r="BM138" s="6" t="s">
        <v>2575</v>
      </c>
    </row>
    <row r="139" spans="2:65" s="2" customFormat="1" ht="33" customHeight="1">
      <c r="B139" s="3"/>
      <c r="C139" s="20" t="s">
        <v>305</v>
      </c>
      <c r="D139" s="20" t="s">
        <v>4</v>
      </c>
      <c r="E139" s="19" t="s">
        <v>2574</v>
      </c>
      <c r="F139" s="14" t="s">
        <v>2573</v>
      </c>
      <c r="G139" s="18" t="s">
        <v>722</v>
      </c>
      <c r="H139" s="17">
        <v>1</v>
      </c>
      <c r="I139" s="16"/>
      <c r="J139" s="15">
        <f>ROUND(I139*H139,2)</f>
        <v>0</v>
      </c>
      <c r="K139" s="14" t="s">
        <v>7</v>
      </c>
      <c r="L139" s="3"/>
      <c r="M139" s="24" t="s">
        <v>6</v>
      </c>
      <c r="N139" s="23" t="s">
        <v>5</v>
      </c>
      <c r="P139" s="22">
        <f>O139*H139</f>
        <v>0</v>
      </c>
      <c r="Q139" s="22">
        <v>1E-4</v>
      </c>
      <c r="R139" s="22">
        <f>Q139*H139</f>
        <v>1E-4</v>
      </c>
      <c r="S139" s="22">
        <v>0</v>
      </c>
      <c r="T139" s="21">
        <f>S139*H139</f>
        <v>0</v>
      </c>
      <c r="AR139" s="6" t="s">
        <v>328</v>
      </c>
      <c r="AT139" s="6" t="s">
        <v>4</v>
      </c>
      <c r="AU139" s="6" t="s">
        <v>365</v>
      </c>
      <c r="AY139" s="7" t="s">
        <v>3</v>
      </c>
      <c r="BE139" s="8">
        <f>IF(N139="základní",J139,0)</f>
        <v>0</v>
      </c>
      <c r="BF139" s="8">
        <f>IF(N139="snížená",J139,0)</f>
        <v>0</v>
      </c>
      <c r="BG139" s="8">
        <f>IF(N139="zákl. přenesená",J139,0)</f>
        <v>0</v>
      </c>
      <c r="BH139" s="8">
        <f>IF(N139="sníž. přenesená",J139,0)</f>
        <v>0</v>
      </c>
      <c r="BI139" s="8">
        <f>IF(N139="nulová",J139,0)</f>
        <v>0</v>
      </c>
      <c r="BJ139" s="7" t="s">
        <v>2</v>
      </c>
      <c r="BK139" s="8">
        <f>ROUND(I139*H139,2)</f>
        <v>0</v>
      </c>
      <c r="BL139" s="7" t="s">
        <v>328</v>
      </c>
      <c r="BM139" s="6" t="s">
        <v>2572</v>
      </c>
    </row>
    <row r="140" spans="2:65" s="2" customFormat="1" ht="33" customHeight="1">
      <c r="B140" s="3"/>
      <c r="C140" s="20" t="s">
        <v>300</v>
      </c>
      <c r="D140" s="20" t="s">
        <v>4</v>
      </c>
      <c r="E140" s="19" t="s">
        <v>2571</v>
      </c>
      <c r="F140" s="14" t="s">
        <v>2570</v>
      </c>
      <c r="G140" s="18" t="s">
        <v>722</v>
      </c>
      <c r="H140" s="17">
        <v>1</v>
      </c>
      <c r="I140" s="16"/>
      <c r="J140" s="15">
        <f>ROUND(I140*H140,2)</f>
        <v>0</v>
      </c>
      <c r="K140" s="14" t="s">
        <v>7</v>
      </c>
      <c r="L140" s="3"/>
      <c r="M140" s="24" t="s">
        <v>6</v>
      </c>
      <c r="N140" s="23" t="s">
        <v>5</v>
      </c>
      <c r="P140" s="22">
        <f>O140*H140</f>
        <v>0</v>
      </c>
      <c r="Q140" s="22">
        <v>1.2E-4</v>
      </c>
      <c r="R140" s="22">
        <f>Q140*H140</f>
        <v>1.2E-4</v>
      </c>
      <c r="S140" s="22">
        <v>0</v>
      </c>
      <c r="T140" s="21">
        <f>S140*H140</f>
        <v>0</v>
      </c>
      <c r="AR140" s="6" t="s">
        <v>328</v>
      </c>
      <c r="AT140" s="6" t="s">
        <v>4</v>
      </c>
      <c r="AU140" s="6" t="s">
        <v>365</v>
      </c>
      <c r="AY140" s="7" t="s">
        <v>3</v>
      </c>
      <c r="BE140" s="8">
        <f>IF(N140="základní",J140,0)</f>
        <v>0</v>
      </c>
      <c r="BF140" s="8">
        <f>IF(N140="snížená",J140,0)</f>
        <v>0</v>
      </c>
      <c r="BG140" s="8">
        <f>IF(N140="zákl. přenesená",J140,0)</f>
        <v>0</v>
      </c>
      <c r="BH140" s="8">
        <f>IF(N140="sníž. přenesená",J140,0)</f>
        <v>0</v>
      </c>
      <c r="BI140" s="8">
        <f>IF(N140="nulová",J140,0)</f>
        <v>0</v>
      </c>
      <c r="BJ140" s="7" t="s">
        <v>2</v>
      </c>
      <c r="BK140" s="8">
        <f>ROUND(I140*H140,2)</f>
        <v>0</v>
      </c>
      <c r="BL140" s="7" t="s">
        <v>328</v>
      </c>
      <c r="BM140" s="6" t="s">
        <v>2569</v>
      </c>
    </row>
    <row r="141" spans="2:65" s="2" customFormat="1" ht="24.2" customHeight="1">
      <c r="B141" s="3"/>
      <c r="C141" s="20" t="s">
        <v>298</v>
      </c>
      <c r="D141" s="20" t="s">
        <v>4</v>
      </c>
      <c r="E141" s="19" t="s">
        <v>1149</v>
      </c>
      <c r="F141" s="14" t="s">
        <v>1148</v>
      </c>
      <c r="G141" s="18" t="s">
        <v>735</v>
      </c>
      <c r="H141" s="17">
        <v>1.038</v>
      </c>
      <c r="I141" s="16"/>
      <c r="J141" s="15">
        <f>ROUND(I141*H141,2)</f>
        <v>0</v>
      </c>
      <c r="K141" s="14" t="s">
        <v>654</v>
      </c>
      <c r="L141" s="3"/>
      <c r="M141" s="24" t="s">
        <v>6</v>
      </c>
      <c r="N141" s="23" t="s">
        <v>5</v>
      </c>
      <c r="P141" s="22">
        <f>O141*H141</f>
        <v>0</v>
      </c>
      <c r="Q141" s="22">
        <v>0</v>
      </c>
      <c r="R141" s="22">
        <f>Q141*H141</f>
        <v>0</v>
      </c>
      <c r="S141" s="22">
        <v>0</v>
      </c>
      <c r="T141" s="21">
        <f>S141*H141</f>
        <v>0</v>
      </c>
      <c r="AR141" s="6" t="s">
        <v>328</v>
      </c>
      <c r="AT141" s="6" t="s">
        <v>4</v>
      </c>
      <c r="AU141" s="6" t="s">
        <v>365</v>
      </c>
      <c r="AY141" s="7" t="s">
        <v>3</v>
      </c>
      <c r="BE141" s="8">
        <f>IF(N141="základní",J141,0)</f>
        <v>0</v>
      </c>
      <c r="BF141" s="8">
        <f>IF(N141="snížená",J141,0)</f>
        <v>0</v>
      </c>
      <c r="BG141" s="8">
        <f>IF(N141="zákl. přenesená",J141,0)</f>
        <v>0</v>
      </c>
      <c r="BH141" s="8">
        <f>IF(N141="sníž. přenesená",J141,0)</f>
        <v>0</v>
      </c>
      <c r="BI141" s="8">
        <f>IF(N141="nulová",J141,0)</f>
        <v>0</v>
      </c>
      <c r="BJ141" s="7" t="s">
        <v>2</v>
      </c>
      <c r="BK141" s="8">
        <f>ROUND(I141*H141,2)</f>
        <v>0</v>
      </c>
      <c r="BL141" s="7" t="s">
        <v>328</v>
      </c>
      <c r="BM141" s="6" t="s">
        <v>2568</v>
      </c>
    </row>
    <row r="142" spans="2:65" s="2" customFormat="1">
      <c r="B142" s="3"/>
      <c r="D142" s="107" t="s">
        <v>651</v>
      </c>
      <c r="F142" s="106" t="s">
        <v>1146</v>
      </c>
      <c r="I142" s="94"/>
      <c r="L142" s="3"/>
      <c r="M142" s="100"/>
      <c r="T142" s="99"/>
      <c r="AT142" s="7" t="s">
        <v>651</v>
      </c>
      <c r="AU142" s="7" t="s">
        <v>365</v>
      </c>
    </row>
    <row r="143" spans="2:65" s="2" customFormat="1" ht="78">
      <c r="B143" s="3"/>
      <c r="D143" s="96" t="s">
        <v>731</v>
      </c>
      <c r="F143" s="95" t="s">
        <v>978</v>
      </c>
      <c r="I143" s="94"/>
      <c r="L143" s="3"/>
      <c r="M143" s="100"/>
      <c r="T143" s="99"/>
      <c r="AT143" s="7" t="s">
        <v>731</v>
      </c>
      <c r="AU143" s="7" t="s">
        <v>365</v>
      </c>
    </row>
    <row r="144" spans="2:65" s="2" customFormat="1" ht="24.2" customHeight="1">
      <c r="B144" s="3"/>
      <c r="C144" s="20" t="s">
        <v>296</v>
      </c>
      <c r="D144" s="20" t="s">
        <v>4</v>
      </c>
      <c r="E144" s="19" t="s">
        <v>1145</v>
      </c>
      <c r="F144" s="14" t="s">
        <v>1144</v>
      </c>
      <c r="G144" s="18" t="s">
        <v>735</v>
      </c>
      <c r="H144" s="17">
        <v>1.038</v>
      </c>
      <c r="I144" s="16"/>
      <c r="J144" s="15">
        <f>ROUND(I144*H144,2)</f>
        <v>0</v>
      </c>
      <c r="K144" s="14" t="s">
        <v>654</v>
      </c>
      <c r="L144" s="3"/>
      <c r="M144" s="24" t="s">
        <v>6</v>
      </c>
      <c r="N144" s="23" t="s">
        <v>5</v>
      </c>
      <c r="P144" s="22">
        <f>O144*H144</f>
        <v>0</v>
      </c>
      <c r="Q144" s="22">
        <v>0</v>
      </c>
      <c r="R144" s="22">
        <f>Q144*H144</f>
        <v>0</v>
      </c>
      <c r="S144" s="22">
        <v>0</v>
      </c>
      <c r="T144" s="21">
        <f>S144*H144</f>
        <v>0</v>
      </c>
      <c r="AR144" s="6" t="s">
        <v>328</v>
      </c>
      <c r="AT144" s="6" t="s">
        <v>4</v>
      </c>
      <c r="AU144" s="6" t="s">
        <v>365</v>
      </c>
      <c r="AY144" s="7" t="s">
        <v>3</v>
      </c>
      <c r="BE144" s="8">
        <f>IF(N144="základní",J144,0)</f>
        <v>0</v>
      </c>
      <c r="BF144" s="8">
        <f>IF(N144="snížená",J144,0)</f>
        <v>0</v>
      </c>
      <c r="BG144" s="8">
        <f>IF(N144="zákl. přenesená",J144,0)</f>
        <v>0</v>
      </c>
      <c r="BH144" s="8">
        <f>IF(N144="sníž. přenesená",J144,0)</f>
        <v>0</v>
      </c>
      <c r="BI144" s="8">
        <f>IF(N144="nulová",J144,0)</f>
        <v>0</v>
      </c>
      <c r="BJ144" s="7" t="s">
        <v>2</v>
      </c>
      <c r="BK144" s="8">
        <f>ROUND(I144*H144,2)</f>
        <v>0</v>
      </c>
      <c r="BL144" s="7" t="s">
        <v>328</v>
      </c>
      <c r="BM144" s="6" t="s">
        <v>2567</v>
      </c>
    </row>
    <row r="145" spans="2:65" s="2" customFormat="1">
      <c r="B145" s="3"/>
      <c r="D145" s="107" t="s">
        <v>651</v>
      </c>
      <c r="F145" s="106" t="s">
        <v>1142</v>
      </c>
      <c r="I145" s="94"/>
      <c r="L145" s="3"/>
      <c r="M145" s="100"/>
      <c r="T145" s="99"/>
      <c r="AT145" s="7" t="s">
        <v>651</v>
      </c>
      <c r="AU145" s="7" t="s">
        <v>365</v>
      </c>
    </row>
    <row r="146" spans="2:65" s="2" customFormat="1" ht="78">
      <c r="B146" s="3"/>
      <c r="D146" s="96" t="s">
        <v>731</v>
      </c>
      <c r="F146" s="95" t="s">
        <v>978</v>
      </c>
      <c r="I146" s="94"/>
      <c r="L146" s="3"/>
      <c r="M146" s="100"/>
      <c r="T146" s="99"/>
      <c r="AT146" s="7" t="s">
        <v>731</v>
      </c>
      <c r="AU146" s="7" t="s">
        <v>365</v>
      </c>
    </row>
    <row r="147" spans="2:65" s="2" customFormat="1" ht="24.2" customHeight="1">
      <c r="B147" s="3"/>
      <c r="C147" s="20" t="s">
        <v>294</v>
      </c>
      <c r="D147" s="20" t="s">
        <v>4</v>
      </c>
      <c r="E147" s="19" t="s">
        <v>2566</v>
      </c>
      <c r="F147" s="14" t="s">
        <v>2565</v>
      </c>
      <c r="G147" s="18" t="s">
        <v>691</v>
      </c>
      <c r="H147" s="17">
        <v>202</v>
      </c>
      <c r="I147" s="16"/>
      <c r="J147" s="15">
        <f>ROUND(I147*H147,2)</f>
        <v>0</v>
      </c>
      <c r="K147" s="14" t="s">
        <v>7</v>
      </c>
      <c r="L147" s="3"/>
      <c r="M147" s="24" t="s">
        <v>6</v>
      </c>
      <c r="N147" s="23" t="s">
        <v>5</v>
      </c>
      <c r="P147" s="22">
        <f>O147*H147</f>
        <v>0</v>
      </c>
      <c r="Q147" s="22">
        <v>0</v>
      </c>
      <c r="R147" s="22">
        <f>Q147*H147</f>
        <v>0</v>
      </c>
      <c r="S147" s="22">
        <v>5.9999999999999995E-4</v>
      </c>
      <c r="T147" s="21">
        <f>S147*H147</f>
        <v>0.12119999999999999</v>
      </c>
      <c r="AR147" s="6" t="s">
        <v>328</v>
      </c>
      <c r="AT147" s="6" t="s">
        <v>4</v>
      </c>
      <c r="AU147" s="6" t="s">
        <v>365</v>
      </c>
      <c r="AY147" s="7" t="s">
        <v>3</v>
      </c>
      <c r="BE147" s="8">
        <f>IF(N147="základní",J147,0)</f>
        <v>0</v>
      </c>
      <c r="BF147" s="8">
        <f>IF(N147="snížená",J147,0)</f>
        <v>0</v>
      </c>
      <c r="BG147" s="8">
        <f>IF(N147="zákl. přenesená",J147,0)</f>
        <v>0</v>
      </c>
      <c r="BH147" s="8">
        <f>IF(N147="sníž. přenesená",J147,0)</f>
        <v>0</v>
      </c>
      <c r="BI147" s="8">
        <f>IF(N147="nulová",J147,0)</f>
        <v>0</v>
      </c>
      <c r="BJ147" s="7" t="s">
        <v>2</v>
      </c>
      <c r="BK147" s="8">
        <f>ROUND(I147*H147,2)</f>
        <v>0</v>
      </c>
      <c r="BL147" s="7" t="s">
        <v>328</v>
      </c>
      <c r="BM147" s="6" t="s">
        <v>2564</v>
      </c>
    </row>
    <row r="148" spans="2:65" s="25" customFormat="1" ht="22.9" customHeight="1">
      <c r="B148" s="32"/>
      <c r="D148" s="27" t="s">
        <v>26</v>
      </c>
      <c r="E148" s="98" t="s">
        <v>1295</v>
      </c>
      <c r="F148" s="98" t="s">
        <v>2563</v>
      </c>
      <c r="I148" s="34"/>
      <c r="J148" s="97">
        <f>BK148</f>
        <v>0</v>
      </c>
      <c r="L148" s="32"/>
      <c r="M148" s="31"/>
      <c r="P148" s="30">
        <f>SUM(P149:P164)</f>
        <v>0</v>
      </c>
      <c r="R148" s="30">
        <f>SUM(R149:R164)</f>
        <v>1.5820000000000001E-2</v>
      </c>
      <c r="T148" s="29">
        <f>SUM(T149:T164)</f>
        <v>0</v>
      </c>
      <c r="AR148" s="27" t="s">
        <v>365</v>
      </c>
      <c r="AT148" s="28" t="s">
        <v>26</v>
      </c>
      <c r="AU148" s="28" t="s">
        <v>2</v>
      </c>
      <c r="AY148" s="27" t="s">
        <v>3</v>
      </c>
      <c r="BK148" s="26">
        <f>SUM(BK149:BK164)</f>
        <v>0</v>
      </c>
    </row>
    <row r="149" spans="2:65" s="2" customFormat="1" ht="16.5" customHeight="1">
      <c r="B149" s="3"/>
      <c r="C149" s="20" t="s">
        <v>292</v>
      </c>
      <c r="D149" s="20" t="s">
        <v>4</v>
      </c>
      <c r="E149" s="19" t="s">
        <v>2562</v>
      </c>
      <c r="F149" s="14" t="s">
        <v>2561</v>
      </c>
      <c r="G149" s="18" t="s">
        <v>21</v>
      </c>
      <c r="H149" s="17">
        <v>19</v>
      </c>
      <c r="I149" s="16"/>
      <c r="J149" s="15">
        <f>ROUND(I149*H149,2)</f>
        <v>0</v>
      </c>
      <c r="K149" s="14" t="s">
        <v>7</v>
      </c>
      <c r="L149" s="3"/>
      <c r="M149" s="24" t="s">
        <v>6</v>
      </c>
      <c r="N149" s="23" t="s">
        <v>5</v>
      </c>
      <c r="P149" s="22">
        <f>O149*H149</f>
        <v>0</v>
      </c>
      <c r="Q149" s="22">
        <v>4.0999999999999999E-4</v>
      </c>
      <c r="R149" s="22">
        <f>Q149*H149</f>
        <v>7.79E-3</v>
      </c>
      <c r="S149" s="22">
        <v>0</v>
      </c>
      <c r="T149" s="21">
        <f>S149*H149</f>
        <v>0</v>
      </c>
      <c r="AR149" s="6" t="s">
        <v>328</v>
      </c>
      <c r="AT149" s="6" t="s">
        <v>4</v>
      </c>
      <c r="AU149" s="6" t="s">
        <v>365</v>
      </c>
      <c r="AY149" s="7" t="s">
        <v>3</v>
      </c>
      <c r="BE149" s="8">
        <f>IF(N149="základní",J149,0)</f>
        <v>0</v>
      </c>
      <c r="BF149" s="8">
        <f>IF(N149="snížená",J149,0)</f>
        <v>0</v>
      </c>
      <c r="BG149" s="8">
        <f>IF(N149="zákl. přenesená",J149,0)</f>
        <v>0</v>
      </c>
      <c r="BH149" s="8">
        <f>IF(N149="sníž. přenesená",J149,0)</f>
        <v>0</v>
      </c>
      <c r="BI149" s="8">
        <f>IF(N149="nulová",J149,0)</f>
        <v>0</v>
      </c>
      <c r="BJ149" s="7" t="s">
        <v>2</v>
      </c>
      <c r="BK149" s="8">
        <f>ROUND(I149*H149,2)</f>
        <v>0</v>
      </c>
      <c r="BL149" s="7" t="s">
        <v>328</v>
      </c>
      <c r="BM149" s="6" t="s">
        <v>2560</v>
      </c>
    </row>
    <row r="150" spans="2:65" s="2" customFormat="1" ht="39">
      <c r="B150" s="3"/>
      <c r="D150" s="96" t="s">
        <v>731</v>
      </c>
      <c r="F150" s="95" t="s">
        <v>2555</v>
      </c>
      <c r="I150" s="94"/>
      <c r="L150" s="3"/>
      <c r="M150" s="100"/>
      <c r="T150" s="99"/>
      <c r="AT150" s="7" t="s">
        <v>731</v>
      </c>
      <c r="AU150" s="7" t="s">
        <v>365</v>
      </c>
    </row>
    <row r="151" spans="2:65" s="2" customFormat="1" ht="16.5" customHeight="1">
      <c r="B151" s="3"/>
      <c r="C151" s="20" t="s">
        <v>290</v>
      </c>
      <c r="D151" s="20" t="s">
        <v>4</v>
      </c>
      <c r="E151" s="19" t="s">
        <v>2559</v>
      </c>
      <c r="F151" s="14" t="s">
        <v>2558</v>
      </c>
      <c r="G151" s="18" t="s">
        <v>21</v>
      </c>
      <c r="H151" s="17">
        <v>4</v>
      </c>
      <c r="I151" s="16"/>
      <c r="J151" s="15">
        <f>ROUND(I151*H151,2)</f>
        <v>0</v>
      </c>
      <c r="K151" s="14" t="s">
        <v>654</v>
      </c>
      <c r="L151" s="3"/>
      <c r="M151" s="24" t="s">
        <v>6</v>
      </c>
      <c r="N151" s="23" t="s">
        <v>5</v>
      </c>
      <c r="P151" s="22">
        <f>O151*H151</f>
        <v>0</v>
      </c>
      <c r="Q151" s="22">
        <v>4.0999999999999999E-4</v>
      </c>
      <c r="R151" s="22">
        <f>Q151*H151</f>
        <v>1.64E-3</v>
      </c>
      <c r="S151" s="22">
        <v>0</v>
      </c>
      <c r="T151" s="21">
        <f>S151*H151</f>
        <v>0</v>
      </c>
      <c r="AR151" s="6" t="s">
        <v>328</v>
      </c>
      <c r="AT151" s="6" t="s">
        <v>4</v>
      </c>
      <c r="AU151" s="6" t="s">
        <v>365</v>
      </c>
      <c r="AY151" s="7" t="s">
        <v>3</v>
      </c>
      <c r="BE151" s="8">
        <f>IF(N151="základní",J151,0)</f>
        <v>0</v>
      </c>
      <c r="BF151" s="8">
        <f>IF(N151="snížená",J151,0)</f>
        <v>0</v>
      </c>
      <c r="BG151" s="8">
        <f>IF(N151="zákl. přenesená",J151,0)</f>
        <v>0</v>
      </c>
      <c r="BH151" s="8">
        <f>IF(N151="sníž. přenesená",J151,0)</f>
        <v>0</v>
      </c>
      <c r="BI151" s="8">
        <f>IF(N151="nulová",J151,0)</f>
        <v>0</v>
      </c>
      <c r="BJ151" s="7" t="s">
        <v>2</v>
      </c>
      <c r="BK151" s="8">
        <f>ROUND(I151*H151,2)</f>
        <v>0</v>
      </c>
      <c r="BL151" s="7" t="s">
        <v>328</v>
      </c>
      <c r="BM151" s="6" t="s">
        <v>2557</v>
      </c>
    </row>
    <row r="152" spans="2:65" s="2" customFormat="1">
      <c r="B152" s="3"/>
      <c r="D152" s="107" t="s">
        <v>651</v>
      </c>
      <c r="F152" s="106" t="s">
        <v>2556</v>
      </c>
      <c r="I152" s="94"/>
      <c r="L152" s="3"/>
      <c r="M152" s="100"/>
      <c r="T152" s="99"/>
      <c r="AT152" s="7" t="s">
        <v>651</v>
      </c>
      <c r="AU152" s="7" t="s">
        <v>365</v>
      </c>
    </row>
    <row r="153" spans="2:65" s="2" customFormat="1" ht="39">
      <c r="B153" s="3"/>
      <c r="D153" s="96" t="s">
        <v>731</v>
      </c>
      <c r="F153" s="95" t="s">
        <v>2555</v>
      </c>
      <c r="I153" s="94"/>
      <c r="L153" s="3"/>
      <c r="M153" s="100"/>
      <c r="T153" s="99"/>
      <c r="AT153" s="7" t="s">
        <v>731</v>
      </c>
      <c r="AU153" s="7" t="s">
        <v>365</v>
      </c>
    </row>
    <row r="154" spans="2:65" s="2" customFormat="1" ht="16.5" customHeight="1">
      <c r="B154" s="3"/>
      <c r="C154" s="20" t="s">
        <v>288</v>
      </c>
      <c r="D154" s="20" t="s">
        <v>4</v>
      </c>
      <c r="E154" s="19" t="s">
        <v>2554</v>
      </c>
      <c r="F154" s="14" t="s">
        <v>2553</v>
      </c>
      <c r="G154" s="18" t="s">
        <v>722</v>
      </c>
      <c r="H154" s="17">
        <v>1</v>
      </c>
      <c r="I154" s="16"/>
      <c r="J154" s="15">
        <f>ROUND(I154*H154,2)</f>
        <v>0</v>
      </c>
      <c r="K154" s="14" t="s">
        <v>654</v>
      </c>
      <c r="L154" s="3"/>
      <c r="M154" s="24" t="s">
        <v>6</v>
      </c>
      <c r="N154" s="23" t="s">
        <v>5</v>
      </c>
      <c r="P154" s="22">
        <f>O154*H154</f>
        <v>0</v>
      </c>
      <c r="Q154" s="22">
        <v>1.7899999999999999E-3</v>
      </c>
      <c r="R154" s="22">
        <f>Q154*H154</f>
        <v>1.7899999999999999E-3</v>
      </c>
      <c r="S154" s="22">
        <v>0</v>
      </c>
      <c r="T154" s="21">
        <f>S154*H154</f>
        <v>0</v>
      </c>
      <c r="AR154" s="6" t="s">
        <v>328</v>
      </c>
      <c r="AT154" s="6" t="s">
        <v>4</v>
      </c>
      <c r="AU154" s="6" t="s">
        <v>365</v>
      </c>
      <c r="AY154" s="7" t="s">
        <v>3</v>
      </c>
      <c r="BE154" s="8">
        <f>IF(N154="základní",J154,0)</f>
        <v>0</v>
      </c>
      <c r="BF154" s="8">
        <f>IF(N154="snížená",J154,0)</f>
        <v>0</v>
      </c>
      <c r="BG154" s="8">
        <f>IF(N154="zákl. přenesená",J154,0)</f>
        <v>0</v>
      </c>
      <c r="BH154" s="8">
        <f>IF(N154="sníž. přenesená",J154,0)</f>
        <v>0</v>
      </c>
      <c r="BI154" s="8">
        <f>IF(N154="nulová",J154,0)</f>
        <v>0</v>
      </c>
      <c r="BJ154" s="7" t="s">
        <v>2</v>
      </c>
      <c r="BK154" s="8">
        <f>ROUND(I154*H154,2)</f>
        <v>0</v>
      </c>
      <c r="BL154" s="7" t="s">
        <v>328</v>
      </c>
      <c r="BM154" s="6" t="s">
        <v>2552</v>
      </c>
    </row>
    <row r="155" spans="2:65" s="2" customFormat="1">
      <c r="B155" s="3"/>
      <c r="D155" s="107" t="s">
        <v>651</v>
      </c>
      <c r="F155" s="106" t="s">
        <v>2551</v>
      </c>
      <c r="I155" s="94"/>
      <c r="L155" s="3"/>
      <c r="M155" s="100"/>
      <c r="T155" s="99"/>
      <c r="AT155" s="7" t="s">
        <v>651</v>
      </c>
      <c r="AU155" s="7" t="s">
        <v>365</v>
      </c>
    </row>
    <row r="156" spans="2:65" s="2" customFormat="1" ht="16.5" customHeight="1">
      <c r="B156" s="3"/>
      <c r="C156" s="20" t="s">
        <v>286</v>
      </c>
      <c r="D156" s="20" t="s">
        <v>4</v>
      </c>
      <c r="E156" s="19" t="s">
        <v>2550</v>
      </c>
      <c r="F156" s="14" t="s">
        <v>2549</v>
      </c>
      <c r="G156" s="18" t="s">
        <v>722</v>
      </c>
      <c r="H156" s="17">
        <v>6</v>
      </c>
      <c r="I156" s="16"/>
      <c r="J156" s="15">
        <f>ROUND(I156*H156,2)</f>
        <v>0</v>
      </c>
      <c r="K156" s="14" t="s">
        <v>7</v>
      </c>
      <c r="L156" s="3"/>
      <c r="M156" s="24" t="s">
        <v>6</v>
      </c>
      <c r="N156" s="23" t="s">
        <v>5</v>
      </c>
      <c r="P156" s="22">
        <f>O156*H156</f>
        <v>0</v>
      </c>
      <c r="Q156" s="22">
        <v>5.0000000000000001E-4</v>
      </c>
      <c r="R156" s="22">
        <f>Q156*H156</f>
        <v>3.0000000000000001E-3</v>
      </c>
      <c r="S156" s="22">
        <v>0</v>
      </c>
      <c r="T156" s="21">
        <f>S156*H156</f>
        <v>0</v>
      </c>
      <c r="AR156" s="6" t="s">
        <v>328</v>
      </c>
      <c r="AT156" s="6" t="s">
        <v>4</v>
      </c>
      <c r="AU156" s="6" t="s">
        <v>365</v>
      </c>
      <c r="AY156" s="7" t="s">
        <v>3</v>
      </c>
      <c r="BE156" s="8">
        <f>IF(N156="základní",J156,0)</f>
        <v>0</v>
      </c>
      <c r="BF156" s="8">
        <f>IF(N156="snížená",J156,0)</f>
        <v>0</v>
      </c>
      <c r="BG156" s="8">
        <f>IF(N156="zákl. přenesená",J156,0)</f>
        <v>0</v>
      </c>
      <c r="BH156" s="8">
        <f>IF(N156="sníž. přenesená",J156,0)</f>
        <v>0</v>
      </c>
      <c r="BI156" s="8">
        <f>IF(N156="nulová",J156,0)</f>
        <v>0</v>
      </c>
      <c r="BJ156" s="7" t="s">
        <v>2</v>
      </c>
      <c r="BK156" s="8">
        <f>ROUND(I156*H156,2)</f>
        <v>0</v>
      </c>
      <c r="BL156" s="7" t="s">
        <v>328</v>
      </c>
      <c r="BM156" s="6" t="s">
        <v>2548</v>
      </c>
    </row>
    <row r="157" spans="2:65" s="2" customFormat="1" ht="16.5" customHeight="1">
      <c r="B157" s="3"/>
      <c r="C157" s="20" t="s">
        <v>283</v>
      </c>
      <c r="D157" s="20" t="s">
        <v>4</v>
      </c>
      <c r="E157" s="19" t="s">
        <v>2547</v>
      </c>
      <c r="F157" s="14" t="s">
        <v>2546</v>
      </c>
      <c r="G157" s="18" t="s">
        <v>722</v>
      </c>
      <c r="H157" s="17">
        <v>2</v>
      </c>
      <c r="I157" s="16"/>
      <c r="J157" s="15">
        <f>ROUND(I157*H157,2)</f>
        <v>0</v>
      </c>
      <c r="K157" s="14" t="s">
        <v>7</v>
      </c>
      <c r="L157" s="3"/>
      <c r="M157" s="24" t="s">
        <v>6</v>
      </c>
      <c r="N157" s="23" t="s">
        <v>5</v>
      </c>
      <c r="P157" s="22">
        <f>O157*H157</f>
        <v>0</v>
      </c>
      <c r="Q157" s="22">
        <v>5.0000000000000001E-4</v>
      </c>
      <c r="R157" s="22">
        <f>Q157*H157</f>
        <v>1E-3</v>
      </c>
      <c r="S157" s="22">
        <v>0</v>
      </c>
      <c r="T157" s="21">
        <f>S157*H157</f>
        <v>0</v>
      </c>
      <c r="AR157" s="6" t="s">
        <v>328</v>
      </c>
      <c r="AT157" s="6" t="s">
        <v>4</v>
      </c>
      <c r="AU157" s="6" t="s">
        <v>365</v>
      </c>
      <c r="AY157" s="7" t="s">
        <v>3</v>
      </c>
      <c r="BE157" s="8">
        <f>IF(N157="základní",J157,0)</f>
        <v>0</v>
      </c>
      <c r="BF157" s="8">
        <f>IF(N157="snížená",J157,0)</f>
        <v>0</v>
      </c>
      <c r="BG157" s="8">
        <f>IF(N157="zákl. přenesená",J157,0)</f>
        <v>0</v>
      </c>
      <c r="BH157" s="8">
        <f>IF(N157="sníž. přenesená",J157,0)</f>
        <v>0</v>
      </c>
      <c r="BI157" s="8">
        <f>IF(N157="nulová",J157,0)</f>
        <v>0</v>
      </c>
      <c r="BJ157" s="7" t="s">
        <v>2</v>
      </c>
      <c r="BK157" s="8">
        <f>ROUND(I157*H157,2)</f>
        <v>0</v>
      </c>
      <c r="BL157" s="7" t="s">
        <v>328</v>
      </c>
      <c r="BM157" s="6" t="s">
        <v>2545</v>
      </c>
    </row>
    <row r="158" spans="2:65" s="2" customFormat="1" ht="16.5" customHeight="1">
      <c r="B158" s="3"/>
      <c r="C158" s="20" t="s">
        <v>281</v>
      </c>
      <c r="D158" s="20" t="s">
        <v>4</v>
      </c>
      <c r="E158" s="19" t="s">
        <v>2544</v>
      </c>
      <c r="F158" s="14" t="s">
        <v>2543</v>
      </c>
      <c r="G158" s="18" t="s">
        <v>722</v>
      </c>
      <c r="H158" s="17">
        <v>3</v>
      </c>
      <c r="I158" s="16"/>
      <c r="J158" s="15">
        <f>ROUND(I158*H158,2)</f>
        <v>0</v>
      </c>
      <c r="K158" s="14" t="s">
        <v>7</v>
      </c>
      <c r="L158" s="3"/>
      <c r="M158" s="24" t="s">
        <v>6</v>
      </c>
      <c r="N158" s="23" t="s">
        <v>5</v>
      </c>
      <c r="P158" s="22">
        <f>O158*H158</f>
        <v>0</v>
      </c>
      <c r="Q158" s="22">
        <v>2.0000000000000001E-4</v>
      </c>
      <c r="R158" s="22">
        <f>Q158*H158</f>
        <v>6.0000000000000006E-4</v>
      </c>
      <c r="S158" s="22">
        <v>0</v>
      </c>
      <c r="T158" s="21">
        <f>S158*H158</f>
        <v>0</v>
      </c>
      <c r="AR158" s="6" t="s">
        <v>328</v>
      </c>
      <c r="AT158" s="6" t="s">
        <v>4</v>
      </c>
      <c r="AU158" s="6" t="s">
        <v>365</v>
      </c>
      <c r="AY158" s="7" t="s">
        <v>3</v>
      </c>
      <c r="BE158" s="8">
        <f>IF(N158="základní",J158,0)</f>
        <v>0</v>
      </c>
      <c r="BF158" s="8">
        <f>IF(N158="snížená",J158,0)</f>
        <v>0</v>
      </c>
      <c r="BG158" s="8">
        <f>IF(N158="zákl. přenesená",J158,0)</f>
        <v>0</v>
      </c>
      <c r="BH158" s="8">
        <f>IF(N158="sníž. přenesená",J158,0)</f>
        <v>0</v>
      </c>
      <c r="BI158" s="8">
        <f>IF(N158="nulová",J158,0)</f>
        <v>0</v>
      </c>
      <c r="BJ158" s="7" t="s">
        <v>2</v>
      </c>
      <c r="BK158" s="8">
        <f>ROUND(I158*H158,2)</f>
        <v>0</v>
      </c>
      <c r="BL158" s="7" t="s">
        <v>328</v>
      </c>
      <c r="BM158" s="6" t="s">
        <v>2542</v>
      </c>
    </row>
    <row r="159" spans="2:65" s="2" customFormat="1" ht="24.2" customHeight="1">
      <c r="B159" s="3"/>
      <c r="C159" s="20" t="s">
        <v>279</v>
      </c>
      <c r="D159" s="20" t="s">
        <v>4</v>
      </c>
      <c r="E159" s="19" t="s">
        <v>2541</v>
      </c>
      <c r="F159" s="14" t="s">
        <v>2540</v>
      </c>
      <c r="G159" s="18" t="s">
        <v>735</v>
      </c>
      <c r="H159" s="17">
        <v>1.6E-2</v>
      </c>
      <c r="I159" s="16"/>
      <c r="J159" s="15">
        <f>ROUND(I159*H159,2)</f>
        <v>0</v>
      </c>
      <c r="K159" s="14" t="s">
        <v>654</v>
      </c>
      <c r="L159" s="3"/>
      <c r="M159" s="24" t="s">
        <v>6</v>
      </c>
      <c r="N159" s="23" t="s">
        <v>5</v>
      </c>
      <c r="P159" s="22">
        <f>O159*H159</f>
        <v>0</v>
      </c>
      <c r="Q159" s="22">
        <v>0</v>
      </c>
      <c r="R159" s="22">
        <f>Q159*H159</f>
        <v>0</v>
      </c>
      <c r="S159" s="22">
        <v>0</v>
      </c>
      <c r="T159" s="21">
        <f>S159*H159</f>
        <v>0</v>
      </c>
      <c r="AR159" s="6" t="s">
        <v>328</v>
      </c>
      <c r="AT159" s="6" t="s">
        <v>4</v>
      </c>
      <c r="AU159" s="6" t="s">
        <v>365</v>
      </c>
      <c r="AY159" s="7" t="s">
        <v>3</v>
      </c>
      <c r="BE159" s="8">
        <f>IF(N159="základní",J159,0)</f>
        <v>0</v>
      </c>
      <c r="BF159" s="8">
        <f>IF(N159="snížená",J159,0)</f>
        <v>0</v>
      </c>
      <c r="BG159" s="8">
        <f>IF(N159="zákl. přenesená",J159,0)</f>
        <v>0</v>
      </c>
      <c r="BH159" s="8">
        <f>IF(N159="sníž. přenesená",J159,0)</f>
        <v>0</v>
      </c>
      <c r="BI159" s="8">
        <f>IF(N159="nulová",J159,0)</f>
        <v>0</v>
      </c>
      <c r="BJ159" s="7" t="s">
        <v>2</v>
      </c>
      <c r="BK159" s="8">
        <f>ROUND(I159*H159,2)</f>
        <v>0</v>
      </c>
      <c r="BL159" s="7" t="s">
        <v>328</v>
      </c>
      <c r="BM159" s="6" t="s">
        <v>2539</v>
      </c>
    </row>
    <row r="160" spans="2:65" s="2" customFormat="1">
      <c r="B160" s="3"/>
      <c r="D160" s="107" t="s">
        <v>651</v>
      </c>
      <c r="F160" s="106" t="s">
        <v>2538</v>
      </c>
      <c r="I160" s="94"/>
      <c r="L160" s="3"/>
      <c r="M160" s="100"/>
      <c r="T160" s="99"/>
      <c r="AT160" s="7" t="s">
        <v>651</v>
      </c>
      <c r="AU160" s="7" t="s">
        <v>365</v>
      </c>
    </row>
    <row r="161" spans="2:65" s="2" customFormat="1" ht="78">
      <c r="B161" s="3"/>
      <c r="D161" s="96" t="s">
        <v>731</v>
      </c>
      <c r="F161" s="95" t="s">
        <v>2059</v>
      </c>
      <c r="I161" s="94"/>
      <c r="L161" s="3"/>
      <c r="M161" s="100"/>
      <c r="T161" s="99"/>
      <c r="AT161" s="7" t="s">
        <v>731</v>
      </c>
      <c r="AU161" s="7" t="s">
        <v>365</v>
      </c>
    </row>
    <row r="162" spans="2:65" s="2" customFormat="1" ht="24.2" customHeight="1">
      <c r="B162" s="3"/>
      <c r="C162" s="20" t="s">
        <v>277</v>
      </c>
      <c r="D162" s="20" t="s">
        <v>4</v>
      </c>
      <c r="E162" s="19" t="s">
        <v>2537</v>
      </c>
      <c r="F162" s="14" t="s">
        <v>2536</v>
      </c>
      <c r="G162" s="18" t="s">
        <v>735</v>
      </c>
      <c r="H162" s="17">
        <v>1.6E-2</v>
      </c>
      <c r="I162" s="16"/>
      <c r="J162" s="15">
        <f>ROUND(I162*H162,2)</f>
        <v>0</v>
      </c>
      <c r="K162" s="14" t="s">
        <v>654</v>
      </c>
      <c r="L162" s="3"/>
      <c r="M162" s="24" t="s">
        <v>6</v>
      </c>
      <c r="N162" s="23" t="s">
        <v>5</v>
      </c>
      <c r="P162" s="22">
        <f>O162*H162</f>
        <v>0</v>
      </c>
      <c r="Q162" s="22">
        <v>0</v>
      </c>
      <c r="R162" s="22">
        <f>Q162*H162</f>
        <v>0</v>
      </c>
      <c r="S162" s="22">
        <v>0</v>
      </c>
      <c r="T162" s="21">
        <f>S162*H162</f>
        <v>0</v>
      </c>
      <c r="AR162" s="6" t="s">
        <v>328</v>
      </c>
      <c r="AT162" s="6" t="s">
        <v>4</v>
      </c>
      <c r="AU162" s="6" t="s">
        <v>365</v>
      </c>
      <c r="AY162" s="7" t="s">
        <v>3</v>
      </c>
      <c r="BE162" s="8">
        <f>IF(N162="základní",J162,0)</f>
        <v>0</v>
      </c>
      <c r="BF162" s="8">
        <f>IF(N162="snížená",J162,0)</f>
        <v>0</v>
      </c>
      <c r="BG162" s="8">
        <f>IF(N162="zákl. přenesená",J162,0)</f>
        <v>0</v>
      </c>
      <c r="BH162" s="8">
        <f>IF(N162="sníž. přenesená",J162,0)</f>
        <v>0</v>
      </c>
      <c r="BI162" s="8">
        <f>IF(N162="nulová",J162,0)</f>
        <v>0</v>
      </c>
      <c r="BJ162" s="7" t="s">
        <v>2</v>
      </c>
      <c r="BK162" s="8">
        <f>ROUND(I162*H162,2)</f>
        <v>0</v>
      </c>
      <c r="BL162" s="7" t="s">
        <v>328</v>
      </c>
      <c r="BM162" s="6" t="s">
        <v>2535</v>
      </c>
    </row>
    <row r="163" spans="2:65" s="2" customFormat="1">
      <c r="B163" s="3"/>
      <c r="D163" s="107" t="s">
        <v>651</v>
      </c>
      <c r="F163" s="106" t="s">
        <v>2534</v>
      </c>
      <c r="I163" s="94"/>
      <c r="L163" s="3"/>
      <c r="M163" s="100"/>
      <c r="T163" s="99"/>
      <c r="AT163" s="7" t="s">
        <v>651</v>
      </c>
      <c r="AU163" s="7" t="s">
        <v>365</v>
      </c>
    </row>
    <row r="164" spans="2:65" s="2" customFormat="1" ht="78">
      <c r="B164" s="3"/>
      <c r="D164" s="96" t="s">
        <v>731</v>
      </c>
      <c r="F164" s="95" t="s">
        <v>2059</v>
      </c>
      <c r="I164" s="94"/>
      <c r="L164" s="3"/>
      <c r="M164" s="100"/>
      <c r="T164" s="99"/>
      <c r="AT164" s="7" t="s">
        <v>731</v>
      </c>
      <c r="AU164" s="7" t="s">
        <v>365</v>
      </c>
    </row>
    <row r="165" spans="2:65" s="25" customFormat="1" ht="22.9" customHeight="1">
      <c r="B165" s="32"/>
      <c r="D165" s="27" t="s">
        <v>26</v>
      </c>
      <c r="E165" s="98" t="s">
        <v>2533</v>
      </c>
      <c r="F165" s="98" t="s">
        <v>2532</v>
      </c>
      <c r="I165" s="34"/>
      <c r="J165" s="97">
        <f>BK165</f>
        <v>0</v>
      </c>
      <c r="L165" s="32"/>
      <c r="M165" s="31"/>
      <c r="P165" s="30">
        <f>SUM(P166:P308)</f>
        <v>0</v>
      </c>
      <c r="R165" s="30">
        <f>SUM(R166:R308)</f>
        <v>5.0630310000000005</v>
      </c>
      <c r="T165" s="29">
        <f>SUM(T166:T308)</f>
        <v>2.7159199999999997</v>
      </c>
      <c r="AR165" s="27" t="s">
        <v>365</v>
      </c>
      <c r="AT165" s="28" t="s">
        <v>26</v>
      </c>
      <c r="AU165" s="28" t="s">
        <v>2</v>
      </c>
      <c r="AY165" s="27" t="s">
        <v>3</v>
      </c>
      <c r="BK165" s="26">
        <f>SUM(BK166:BK308)</f>
        <v>0</v>
      </c>
    </row>
    <row r="166" spans="2:65" s="2" customFormat="1" ht="16.5" customHeight="1">
      <c r="B166" s="3"/>
      <c r="C166" s="20" t="s">
        <v>275</v>
      </c>
      <c r="D166" s="20" t="s">
        <v>4</v>
      </c>
      <c r="E166" s="19" t="s">
        <v>2531</v>
      </c>
      <c r="F166" s="14" t="s">
        <v>2392</v>
      </c>
      <c r="G166" s="18" t="s">
        <v>714</v>
      </c>
      <c r="H166" s="17">
        <v>1</v>
      </c>
      <c r="I166" s="16"/>
      <c r="J166" s="15">
        <f>ROUND(I166*H166,2)</f>
        <v>0</v>
      </c>
      <c r="K166" s="14" t="s">
        <v>2525</v>
      </c>
      <c r="L166" s="3"/>
      <c r="M166" s="24" t="s">
        <v>6</v>
      </c>
      <c r="N166" s="23" t="s">
        <v>5</v>
      </c>
      <c r="P166" s="22">
        <f>O166*H166</f>
        <v>0</v>
      </c>
      <c r="Q166" s="22">
        <v>0.02</v>
      </c>
      <c r="R166" s="22">
        <f>Q166*H166</f>
        <v>0.02</v>
      </c>
      <c r="S166" s="22">
        <v>0</v>
      </c>
      <c r="T166" s="21">
        <f>S166*H166</f>
        <v>0</v>
      </c>
      <c r="AR166" s="6" t="s">
        <v>328</v>
      </c>
      <c r="AT166" s="6" t="s">
        <v>4</v>
      </c>
      <c r="AU166" s="6" t="s">
        <v>365</v>
      </c>
      <c r="AY166" s="7" t="s">
        <v>3</v>
      </c>
      <c r="BE166" s="8">
        <f>IF(N166="základní",J166,0)</f>
        <v>0</v>
      </c>
      <c r="BF166" s="8">
        <f>IF(N166="snížená",J166,0)</f>
        <v>0</v>
      </c>
      <c r="BG166" s="8">
        <f>IF(N166="zákl. přenesená",J166,0)</f>
        <v>0</v>
      </c>
      <c r="BH166" s="8">
        <f>IF(N166="sníž. přenesená",J166,0)</f>
        <v>0</v>
      </c>
      <c r="BI166" s="8">
        <f>IF(N166="nulová",J166,0)</f>
        <v>0</v>
      </c>
      <c r="BJ166" s="7" t="s">
        <v>2</v>
      </c>
      <c r="BK166" s="8">
        <f>ROUND(I166*H166,2)</f>
        <v>0</v>
      </c>
      <c r="BL166" s="7" t="s">
        <v>328</v>
      </c>
      <c r="BM166" s="6" t="s">
        <v>2530</v>
      </c>
    </row>
    <row r="167" spans="2:65" s="269" customFormat="1">
      <c r="B167" s="273"/>
      <c r="D167" s="96" t="s">
        <v>704</v>
      </c>
      <c r="E167" s="270" t="s">
        <v>6</v>
      </c>
      <c r="F167" s="275" t="s">
        <v>2442</v>
      </c>
      <c r="H167" s="270" t="s">
        <v>6</v>
      </c>
      <c r="I167" s="274"/>
      <c r="L167" s="273"/>
      <c r="M167" s="272"/>
      <c r="T167" s="271"/>
      <c r="AT167" s="270" t="s">
        <v>704</v>
      </c>
      <c r="AU167" s="270" t="s">
        <v>365</v>
      </c>
      <c r="AV167" s="269" t="s">
        <v>2</v>
      </c>
      <c r="AW167" s="269" t="s">
        <v>703</v>
      </c>
      <c r="AX167" s="269" t="s">
        <v>25</v>
      </c>
      <c r="AY167" s="270" t="s">
        <v>3</v>
      </c>
    </row>
    <row r="168" spans="2:65" s="269" customFormat="1">
      <c r="B168" s="273"/>
      <c r="D168" s="96" t="s">
        <v>704</v>
      </c>
      <c r="E168" s="270" t="s">
        <v>6</v>
      </c>
      <c r="F168" s="275" t="s">
        <v>2441</v>
      </c>
      <c r="H168" s="270" t="s">
        <v>6</v>
      </c>
      <c r="I168" s="274"/>
      <c r="L168" s="273"/>
      <c r="M168" s="272"/>
      <c r="T168" s="271"/>
      <c r="AT168" s="270" t="s">
        <v>704</v>
      </c>
      <c r="AU168" s="270" t="s">
        <v>365</v>
      </c>
      <c r="AV168" s="269" t="s">
        <v>2</v>
      </c>
      <c r="AW168" s="269" t="s">
        <v>703</v>
      </c>
      <c r="AX168" s="269" t="s">
        <v>25</v>
      </c>
      <c r="AY168" s="270" t="s">
        <v>3</v>
      </c>
    </row>
    <row r="169" spans="2:65" s="108" customFormat="1">
      <c r="B169" s="112"/>
      <c r="D169" s="96" t="s">
        <v>704</v>
      </c>
      <c r="E169" s="109" t="s">
        <v>6</v>
      </c>
      <c r="F169" s="115" t="s">
        <v>2</v>
      </c>
      <c r="H169" s="114">
        <v>1</v>
      </c>
      <c r="I169" s="113"/>
      <c r="L169" s="112"/>
      <c r="M169" s="111"/>
      <c r="T169" s="110"/>
      <c r="AT169" s="109" t="s">
        <v>704</v>
      </c>
      <c r="AU169" s="109" t="s">
        <v>365</v>
      </c>
      <c r="AV169" s="108" t="s">
        <v>365</v>
      </c>
      <c r="AW169" s="108" t="s">
        <v>703</v>
      </c>
      <c r="AX169" s="108" t="s">
        <v>2</v>
      </c>
      <c r="AY169" s="109" t="s">
        <v>3</v>
      </c>
    </row>
    <row r="170" spans="2:65" s="2" customFormat="1" ht="16.5" customHeight="1">
      <c r="B170" s="3"/>
      <c r="C170" s="20" t="s">
        <v>273</v>
      </c>
      <c r="D170" s="20" t="s">
        <v>4</v>
      </c>
      <c r="E170" s="19" t="s">
        <v>2529</v>
      </c>
      <c r="F170" s="14" t="s">
        <v>2389</v>
      </c>
      <c r="G170" s="18" t="s">
        <v>714</v>
      </c>
      <c r="H170" s="17">
        <v>1</v>
      </c>
      <c r="I170" s="16"/>
      <c r="J170" s="15">
        <f>ROUND(I170*H170,2)</f>
        <v>0</v>
      </c>
      <c r="K170" s="14" t="s">
        <v>2525</v>
      </c>
      <c r="L170" s="3"/>
      <c r="M170" s="24" t="s">
        <v>6</v>
      </c>
      <c r="N170" s="23" t="s">
        <v>5</v>
      </c>
      <c r="P170" s="22">
        <f>O170*H170</f>
        <v>0</v>
      </c>
      <c r="Q170" s="22">
        <v>0.04</v>
      </c>
      <c r="R170" s="22">
        <f>Q170*H170</f>
        <v>0.04</v>
      </c>
      <c r="S170" s="22">
        <v>0</v>
      </c>
      <c r="T170" s="21">
        <f>S170*H170</f>
        <v>0</v>
      </c>
      <c r="AR170" s="6" t="s">
        <v>328</v>
      </c>
      <c r="AT170" s="6" t="s">
        <v>4</v>
      </c>
      <c r="AU170" s="6" t="s">
        <v>365</v>
      </c>
      <c r="AY170" s="7" t="s">
        <v>3</v>
      </c>
      <c r="BE170" s="8">
        <f>IF(N170="základní",J170,0)</f>
        <v>0</v>
      </c>
      <c r="BF170" s="8">
        <f>IF(N170="snížená",J170,0)</f>
        <v>0</v>
      </c>
      <c r="BG170" s="8">
        <f>IF(N170="zákl. přenesená",J170,0)</f>
        <v>0</v>
      </c>
      <c r="BH170" s="8">
        <f>IF(N170="sníž. přenesená",J170,0)</f>
        <v>0</v>
      </c>
      <c r="BI170" s="8">
        <f>IF(N170="nulová",J170,0)</f>
        <v>0</v>
      </c>
      <c r="BJ170" s="7" t="s">
        <v>2</v>
      </c>
      <c r="BK170" s="8">
        <f>ROUND(I170*H170,2)</f>
        <v>0</v>
      </c>
      <c r="BL170" s="7" t="s">
        <v>328</v>
      </c>
      <c r="BM170" s="6" t="s">
        <v>2528</v>
      </c>
    </row>
    <row r="171" spans="2:65" s="269" customFormat="1">
      <c r="B171" s="273"/>
      <c r="D171" s="96" t="s">
        <v>704</v>
      </c>
      <c r="E171" s="270" t="s">
        <v>6</v>
      </c>
      <c r="F171" s="275" t="s">
        <v>2442</v>
      </c>
      <c r="H171" s="270" t="s">
        <v>6</v>
      </c>
      <c r="I171" s="274"/>
      <c r="L171" s="273"/>
      <c r="M171" s="272"/>
      <c r="T171" s="271"/>
      <c r="AT171" s="270" t="s">
        <v>704</v>
      </c>
      <c r="AU171" s="270" t="s">
        <v>365</v>
      </c>
      <c r="AV171" s="269" t="s">
        <v>2</v>
      </c>
      <c r="AW171" s="269" t="s">
        <v>703</v>
      </c>
      <c r="AX171" s="269" t="s">
        <v>25</v>
      </c>
      <c r="AY171" s="270" t="s">
        <v>3</v>
      </c>
    </row>
    <row r="172" spans="2:65" s="269" customFormat="1">
      <c r="B172" s="273"/>
      <c r="D172" s="96" t="s">
        <v>704</v>
      </c>
      <c r="E172" s="270" t="s">
        <v>6</v>
      </c>
      <c r="F172" s="275" t="s">
        <v>2441</v>
      </c>
      <c r="H172" s="270" t="s">
        <v>6</v>
      </c>
      <c r="I172" s="274"/>
      <c r="L172" s="273"/>
      <c r="M172" s="272"/>
      <c r="T172" s="271"/>
      <c r="AT172" s="270" t="s">
        <v>704</v>
      </c>
      <c r="AU172" s="270" t="s">
        <v>365</v>
      </c>
      <c r="AV172" s="269" t="s">
        <v>2</v>
      </c>
      <c r="AW172" s="269" t="s">
        <v>703</v>
      </c>
      <c r="AX172" s="269" t="s">
        <v>25</v>
      </c>
      <c r="AY172" s="270" t="s">
        <v>3</v>
      </c>
    </row>
    <row r="173" spans="2:65" s="108" customFormat="1">
      <c r="B173" s="112"/>
      <c r="D173" s="96" t="s">
        <v>704</v>
      </c>
      <c r="E173" s="109" t="s">
        <v>6</v>
      </c>
      <c r="F173" s="115" t="s">
        <v>2</v>
      </c>
      <c r="H173" s="114">
        <v>1</v>
      </c>
      <c r="I173" s="113"/>
      <c r="L173" s="112"/>
      <c r="M173" s="111"/>
      <c r="T173" s="110"/>
      <c r="AT173" s="109" t="s">
        <v>704</v>
      </c>
      <c r="AU173" s="109" t="s">
        <v>365</v>
      </c>
      <c r="AV173" s="108" t="s">
        <v>365</v>
      </c>
      <c r="AW173" s="108" t="s">
        <v>703</v>
      </c>
      <c r="AX173" s="108" t="s">
        <v>2</v>
      </c>
      <c r="AY173" s="109" t="s">
        <v>3</v>
      </c>
    </row>
    <row r="174" spans="2:65" s="2" customFormat="1" ht="350.25" customHeight="1">
      <c r="B174" s="3"/>
      <c r="C174" s="125" t="s">
        <v>270</v>
      </c>
      <c r="D174" s="125" t="s">
        <v>750</v>
      </c>
      <c r="E174" s="124" t="s">
        <v>2527</v>
      </c>
      <c r="F174" s="119" t="s">
        <v>2526</v>
      </c>
      <c r="G174" s="123" t="s">
        <v>714</v>
      </c>
      <c r="H174" s="122">
        <v>1</v>
      </c>
      <c r="I174" s="121"/>
      <c r="J174" s="120">
        <f>ROUND(I174*H174,2)</f>
        <v>0</v>
      </c>
      <c r="K174" s="119" t="s">
        <v>2525</v>
      </c>
      <c r="L174" s="118"/>
      <c r="M174" s="117" t="s">
        <v>6</v>
      </c>
      <c r="N174" s="116" t="s">
        <v>5</v>
      </c>
      <c r="P174" s="22">
        <f>O174*H174</f>
        <v>0</v>
      </c>
      <c r="Q174" s="22">
        <v>3.24</v>
      </c>
      <c r="R174" s="22">
        <f>Q174*H174</f>
        <v>3.24</v>
      </c>
      <c r="S174" s="22">
        <v>0</v>
      </c>
      <c r="T174" s="21">
        <f>S174*H174</f>
        <v>0</v>
      </c>
      <c r="AR174" s="6" t="s">
        <v>283</v>
      </c>
      <c r="AT174" s="6" t="s">
        <v>750</v>
      </c>
      <c r="AU174" s="6" t="s">
        <v>365</v>
      </c>
      <c r="AY174" s="7" t="s">
        <v>3</v>
      </c>
      <c r="BE174" s="8">
        <f>IF(N174="základní",J174,0)</f>
        <v>0</v>
      </c>
      <c r="BF174" s="8">
        <f>IF(N174="snížená",J174,0)</f>
        <v>0</v>
      </c>
      <c r="BG174" s="8">
        <f>IF(N174="zákl. přenesená",J174,0)</f>
        <v>0</v>
      </c>
      <c r="BH174" s="8">
        <f>IF(N174="sníž. přenesená",J174,0)</f>
        <v>0</v>
      </c>
      <c r="BI174" s="8">
        <f>IF(N174="nulová",J174,0)</f>
        <v>0</v>
      </c>
      <c r="BJ174" s="7" t="s">
        <v>2</v>
      </c>
      <c r="BK174" s="8">
        <f>ROUND(I174*H174,2)</f>
        <v>0</v>
      </c>
      <c r="BL174" s="7" t="s">
        <v>328</v>
      </c>
      <c r="BM174" s="6" t="s">
        <v>2524</v>
      </c>
    </row>
    <row r="175" spans="2:65" s="2" customFormat="1" ht="24.2" customHeight="1">
      <c r="B175" s="3"/>
      <c r="C175" s="20" t="s">
        <v>266</v>
      </c>
      <c r="D175" s="20" t="s">
        <v>4</v>
      </c>
      <c r="E175" s="19" t="s">
        <v>2523</v>
      </c>
      <c r="F175" s="14" t="s">
        <v>2522</v>
      </c>
      <c r="G175" s="18" t="s">
        <v>722</v>
      </c>
      <c r="H175" s="17">
        <v>1</v>
      </c>
      <c r="I175" s="16"/>
      <c r="J175" s="15">
        <f>ROUND(I175*H175,2)</f>
        <v>0</v>
      </c>
      <c r="K175" s="14" t="s">
        <v>7</v>
      </c>
      <c r="L175" s="3"/>
      <c r="M175" s="24" t="s">
        <v>6</v>
      </c>
      <c r="N175" s="23" t="s">
        <v>5</v>
      </c>
      <c r="P175" s="22">
        <f>O175*H175</f>
        <v>0</v>
      </c>
      <c r="Q175" s="22">
        <v>0</v>
      </c>
      <c r="R175" s="22">
        <f>Q175*H175</f>
        <v>0</v>
      </c>
      <c r="S175" s="22">
        <v>0</v>
      </c>
      <c r="T175" s="21">
        <f>S175*H175</f>
        <v>0</v>
      </c>
      <c r="AR175" s="6" t="s">
        <v>328</v>
      </c>
      <c r="AT175" s="6" t="s">
        <v>4</v>
      </c>
      <c r="AU175" s="6" t="s">
        <v>365</v>
      </c>
      <c r="AY175" s="7" t="s">
        <v>3</v>
      </c>
      <c r="BE175" s="8">
        <f>IF(N175="základní",J175,0)</f>
        <v>0</v>
      </c>
      <c r="BF175" s="8">
        <f>IF(N175="snížená",J175,0)</f>
        <v>0</v>
      </c>
      <c r="BG175" s="8">
        <f>IF(N175="zákl. přenesená",J175,0)</f>
        <v>0</v>
      </c>
      <c r="BH175" s="8">
        <f>IF(N175="sníž. přenesená",J175,0)</f>
        <v>0</v>
      </c>
      <c r="BI175" s="8">
        <f>IF(N175="nulová",J175,0)</f>
        <v>0</v>
      </c>
      <c r="BJ175" s="7" t="s">
        <v>2</v>
      </c>
      <c r="BK175" s="8">
        <f>ROUND(I175*H175,2)</f>
        <v>0</v>
      </c>
      <c r="BL175" s="7" t="s">
        <v>328</v>
      </c>
      <c r="BM175" s="6" t="s">
        <v>2521</v>
      </c>
    </row>
    <row r="176" spans="2:65" s="269" customFormat="1">
      <c r="B176" s="273"/>
      <c r="D176" s="96" t="s">
        <v>704</v>
      </c>
      <c r="E176" s="270" t="s">
        <v>6</v>
      </c>
      <c r="F176" s="275" t="s">
        <v>2442</v>
      </c>
      <c r="H176" s="270" t="s">
        <v>6</v>
      </c>
      <c r="I176" s="274"/>
      <c r="L176" s="273"/>
      <c r="M176" s="272"/>
      <c r="T176" s="271"/>
      <c r="AT176" s="270" t="s">
        <v>704</v>
      </c>
      <c r="AU176" s="270" t="s">
        <v>365</v>
      </c>
      <c r="AV176" s="269" t="s">
        <v>2</v>
      </c>
      <c r="AW176" s="269" t="s">
        <v>703</v>
      </c>
      <c r="AX176" s="269" t="s">
        <v>25</v>
      </c>
      <c r="AY176" s="270" t="s">
        <v>3</v>
      </c>
    </row>
    <row r="177" spans="2:65" s="269" customFormat="1">
      <c r="B177" s="273"/>
      <c r="D177" s="96" t="s">
        <v>704</v>
      </c>
      <c r="E177" s="270" t="s">
        <v>6</v>
      </c>
      <c r="F177" s="275" t="s">
        <v>2441</v>
      </c>
      <c r="H177" s="270" t="s">
        <v>6</v>
      </c>
      <c r="I177" s="274"/>
      <c r="L177" s="273"/>
      <c r="M177" s="272"/>
      <c r="T177" s="271"/>
      <c r="AT177" s="270" t="s">
        <v>704</v>
      </c>
      <c r="AU177" s="270" t="s">
        <v>365</v>
      </c>
      <c r="AV177" s="269" t="s">
        <v>2</v>
      </c>
      <c r="AW177" s="269" t="s">
        <v>703</v>
      </c>
      <c r="AX177" s="269" t="s">
        <v>25</v>
      </c>
      <c r="AY177" s="270" t="s">
        <v>3</v>
      </c>
    </row>
    <row r="178" spans="2:65" s="108" customFormat="1">
      <c r="B178" s="112"/>
      <c r="D178" s="96" t="s">
        <v>704</v>
      </c>
      <c r="E178" s="109" t="s">
        <v>6</v>
      </c>
      <c r="F178" s="115" t="s">
        <v>2</v>
      </c>
      <c r="H178" s="114">
        <v>1</v>
      </c>
      <c r="I178" s="113"/>
      <c r="L178" s="112"/>
      <c r="M178" s="111"/>
      <c r="T178" s="110"/>
      <c r="AT178" s="109" t="s">
        <v>704</v>
      </c>
      <c r="AU178" s="109" t="s">
        <v>365</v>
      </c>
      <c r="AV178" s="108" t="s">
        <v>365</v>
      </c>
      <c r="AW178" s="108" t="s">
        <v>703</v>
      </c>
      <c r="AX178" s="108" t="s">
        <v>2</v>
      </c>
      <c r="AY178" s="109" t="s">
        <v>3</v>
      </c>
    </row>
    <row r="179" spans="2:65" s="2" customFormat="1" ht="16.5" customHeight="1">
      <c r="B179" s="3"/>
      <c r="C179" s="20" t="s">
        <v>263</v>
      </c>
      <c r="D179" s="20" t="s">
        <v>4</v>
      </c>
      <c r="E179" s="19" t="s">
        <v>2520</v>
      </c>
      <c r="F179" s="14" t="s">
        <v>2383</v>
      </c>
      <c r="G179" s="18" t="s">
        <v>714</v>
      </c>
      <c r="H179" s="17">
        <v>1</v>
      </c>
      <c r="I179" s="16"/>
      <c r="J179" s="15">
        <f>ROUND(I179*H179,2)</f>
        <v>0</v>
      </c>
      <c r="K179" s="14" t="s">
        <v>7</v>
      </c>
      <c r="L179" s="3"/>
      <c r="M179" s="24" t="s">
        <v>6</v>
      </c>
      <c r="N179" s="23" t="s">
        <v>5</v>
      </c>
      <c r="P179" s="22">
        <f>O179*H179</f>
        <v>0</v>
      </c>
      <c r="Q179" s="22">
        <v>0</v>
      </c>
      <c r="R179" s="22">
        <f>Q179*H179</f>
        <v>0</v>
      </c>
      <c r="S179" s="22">
        <v>0</v>
      </c>
      <c r="T179" s="21">
        <f>S179*H179</f>
        <v>0</v>
      </c>
      <c r="AR179" s="6" t="s">
        <v>328</v>
      </c>
      <c r="AT179" s="6" t="s">
        <v>4</v>
      </c>
      <c r="AU179" s="6" t="s">
        <v>365</v>
      </c>
      <c r="AY179" s="7" t="s">
        <v>3</v>
      </c>
      <c r="BE179" s="8">
        <f>IF(N179="základní",J179,0)</f>
        <v>0</v>
      </c>
      <c r="BF179" s="8">
        <f>IF(N179="snížená",J179,0)</f>
        <v>0</v>
      </c>
      <c r="BG179" s="8">
        <f>IF(N179="zákl. přenesená",J179,0)</f>
        <v>0</v>
      </c>
      <c r="BH179" s="8">
        <f>IF(N179="sníž. přenesená",J179,0)</f>
        <v>0</v>
      </c>
      <c r="BI179" s="8">
        <f>IF(N179="nulová",J179,0)</f>
        <v>0</v>
      </c>
      <c r="BJ179" s="7" t="s">
        <v>2</v>
      </c>
      <c r="BK179" s="8">
        <f>ROUND(I179*H179,2)</f>
        <v>0</v>
      </c>
      <c r="BL179" s="7" t="s">
        <v>328</v>
      </c>
      <c r="BM179" s="6" t="s">
        <v>2519</v>
      </c>
    </row>
    <row r="180" spans="2:65" s="269" customFormat="1">
      <c r="B180" s="273"/>
      <c r="D180" s="96" t="s">
        <v>704</v>
      </c>
      <c r="E180" s="270" t="s">
        <v>6</v>
      </c>
      <c r="F180" s="275" t="s">
        <v>2442</v>
      </c>
      <c r="H180" s="270" t="s">
        <v>6</v>
      </c>
      <c r="I180" s="274"/>
      <c r="L180" s="273"/>
      <c r="M180" s="272"/>
      <c r="T180" s="271"/>
      <c r="AT180" s="270" t="s">
        <v>704</v>
      </c>
      <c r="AU180" s="270" t="s">
        <v>365</v>
      </c>
      <c r="AV180" s="269" t="s">
        <v>2</v>
      </c>
      <c r="AW180" s="269" t="s">
        <v>703</v>
      </c>
      <c r="AX180" s="269" t="s">
        <v>25</v>
      </c>
      <c r="AY180" s="270" t="s">
        <v>3</v>
      </c>
    </row>
    <row r="181" spans="2:65" s="269" customFormat="1">
      <c r="B181" s="273"/>
      <c r="D181" s="96" t="s">
        <v>704</v>
      </c>
      <c r="E181" s="270" t="s">
        <v>6</v>
      </c>
      <c r="F181" s="275" t="s">
        <v>2441</v>
      </c>
      <c r="H181" s="270" t="s">
        <v>6</v>
      </c>
      <c r="I181" s="274"/>
      <c r="L181" s="273"/>
      <c r="M181" s="272"/>
      <c r="T181" s="271"/>
      <c r="AT181" s="270" t="s">
        <v>704</v>
      </c>
      <c r="AU181" s="270" t="s">
        <v>365</v>
      </c>
      <c r="AV181" s="269" t="s">
        <v>2</v>
      </c>
      <c r="AW181" s="269" t="s">
        <v>703</v>
      </c>
      <c r="AX181" s="269" t="s">
        <v>25</v>
      </c>
      <c r="AY181" s="270" t="s">
        <v>3</v>
      </c>
    </row>
    <row r="182" spans="2:65" s="108" customFormat="1">
      <c r="B182" s="112"/>
      <c r="D182" s="96" t="s">
        <v>704</v>
      </c>
      <c r="E182" s="109" t="s">
        <v>6</v>
      </c>
      <c r="F182" s="115" t="s">
        <v>2</v>
      </c>
      <c r="H182" s="114">
        <v>1</v>
      </c>
      <c r="I182" s="113"/>
      <c r="L182" s="112"/>
      <c r="M182" s="111"/>
      <c r="T182" s="110"/>
      <c r="AT182" s="109" t="s">
        <v>704</v>
      </c>
      <c r="AU182" s="109" t="s">
        <v>365</v>
      </c>
      <c r="AV182" s="108" t="s">
        <v>365</v>
      </c>
      <c r="AW182" s="108" t="s">
        <v>703</v>
      </c>
      <c r="AX182" s="108" t="s">
        <v>2</v>
      </c>
      <c r="AY182" s="109" t="s">
        <v>3</v>
      </c>
    </row>
    <row r="183" spans="2:65" s="2" customFormat="1" ht="24.2" customHeight="1">
      <c r="B183" s="3"/>
      <c r="C183" s="20" t="s">
        <v>260</v>
      </c>
      <c r="D183" s="20" t="s">
        <v>4</v>
      </c>
      <c r="E183" s="19" t="s">
        <v>2518</v>
      </c>
      <c r="F183" s="14" t="s">
        <v>2517</v>
      </c>
      <c r="G183" s="18" t="s">
        <v>722</v>
      </c>
      <c r="H183" s="17">
        <v>1</v>
      </c>
      <c r="I183" s="16"/>
      <c r="J183" s="15">
        <f>ROUND(I183*H183,2)</f>
        <v>0</v>
      </c>
      <c r="K183" s="14" t="s">
        <v>654</v>
      </c>
      <c r="L183" s="3"/>
      <c r="M183" s="24" t="s">
        <v>6</v>
      </c>
      <c r="N183" s="23" t="s">
        <v>5</v>
      </c>
      <c r="P183" s="22">
        <f>O183*H183</f>
        <v>0</v>
      </c>
      <c r="Q183" s="22">
        <v>0</v>
      </c>
      <c r="R183" s="22">
        <f>Q183*H183</f>
        <v>0</v>
      </c>
      <c r="S183" s="22">
        <v>0</v>
      </c>
      <c r="T183" s="21">
        <f>S183*H183</f>
        <v>0</v>
      </c>
      <c r="AR183" s="6" t="s">
        <v>328</v>
      </c>
      <c r="AT183" s="6" t="s">
        <v>4</v>
      </c>
      <c r="AU183" s="6" t="s">
        <v>365</v>
      </c>
      <c r="AY183" s="7" t="s">
        <v>3</v>
      </c>
      <c r="BE183" s="8">
        <f>IF(N183="základní",J183,0)</f>
        <v>0</v>
      </c>
      <c r="BF183" s="8">
        <f>IF(N183="snížená",J183,0)</f>
        <v>0</v>
      </c>
      <c r="BG183" s="8">
        <f>IF(N183="zákl. přenesená",J183,0)</f>
        <v>0</v>
      </c>
      <c r="BH183" s="8">
        <f>IF(N183="sníž. přenesená",J183,0)</f>
        <v>0</v>
      </c>
      <c r="BI183" s="8">
        <f>IF(N183="nulová",J183,0)</f>
        <v>0</v>
      </c>
      <c r="BJ183" s="7" t="s">
        <v>2</v>
      </c>
      <c r="BK183" s="8">
        <f>ROUND(I183*H183,2)</f>
        <v>0</v>
      </c>
      <c r="BL183" s="7" t="s">
        <v>328</v>
      </c>
      <c r="BM183" s="6" t="s">
        <v>2516</v>
      </c>
    </row>
    <row r="184" spans="2:65" s="2" customFormat="1">
      <c r="B184" s="3"/>
      <c r="D184" s="107" t="s">
        <v>651</v>
      </c>
      <c r="F184" s="106" t="s">
        <v>2515</v>
      </c>
      <c r="I184" s="94"/>
      <c r="L184" s="3"/>
      <c r="M184" s="100"/>
      <c r="T184" s="99"/>
      <c r="AT184" s="7" t="s">
        <v>651</v>
      </c>
      <c r="AU184" s="7" t="s">
        <v>365</v>
      </c>
    </row>
    <row r="185" spans="2:65" s="269" customFormat="1">
      <c r="B185" s="273"/>
      <c r="D185" s="96" t="s">
        <v>704</v>
      </c>
      <c r="E185" s="270" t="s">
        <v>6</v>
      </c>
      <c r="F185" s="275" t="s">
        <v>2442</v>
      </c>
      <c r="H185" s="270" t="s">
        <v>6</v>
      </c>
      <c r="I185" s="274"/>
      <c r="L185" s="273"/>
      <c r="M185" s="272"/>
      <c r="T185" s="271"/>
      <c r="AT185" s="270" t="s">
        <v>704</v>
      </c>
      <c r="AU185" s="270" t="s">
        <v>365</v>
      </c>
      <c r="AV185" s="269" t="s">
        <v>2</v>
      </c>
      <c r="AW185" s="269" t="s">
        <v>703</v>
      </c>
      <c r="AX185" s="269" t="s">
        <v>25</v>
      </c>
      <c r="AY185" s="270" t="s">
        <v>3</v>
      </c>
    </row>
    <row r="186" spans="2:65" s="269" customFormat="1">
      <c r="B186" s="273"/>
      <c r="D186" s="96" t="s">
        <v>704</v>
      </c>
      <c r="E186" s="270" t="s">
        <v>6</v>
      </c>
      <c r="F186" s="275" t="s">
        <v>2441</v>
      </c>
      <c r="H186" s="270" t="s">
        <v>6</v>
      </c>
      <c r="I186" s="274"/>
      <c r="L186" s="273"/>
      <c r="M186" s="272"/>
      <c r="T186" s="271"/>
      <c r="AT186" s="270" t="s">
        <v>704</v>
      </c>
      <c r="AU186" s="270" t="s">
        <v>365</v>
      </c>
      <c r="AV186" s="269" t="s">
        <v>2</v>
      </c>
      <c r="AW186" s="269" t="s">
        <v>703</v>
      </c>
      <c r="AX186" s="269" t="s">
        <v>25</v>
      </c>
      <c r="AY186" s="270" t="s">
        <v>3</v>
      </c>
    </row>
    <row r="187" spans="2:65" s="108" customFormat="1">
      <c r="B187" s="112"/>
      <c r="D187" s="96" t="s">
        <v>704</v>
      </c>
      <c r="E187" s="109" t="s">
        <v>6</v>
      </c>
      <c r="F187" s="115" t="s">
        <v>2</v>
      </c>
      <c r="H187" s="114">
        <v>1</v>
      </c>
      <c r="I187" s="113"/>
      <c r="L187" s="112"/>
      <c r="M187" s="111"/>
      <c r="T187" s="110"/>
      <c r="AT187" s="109" t="s">
        <v>704</v>
      </c>
      <c r="AU187" s="109" t="s">
        <v>365</v>
      </c>
      <c r="AV187" s="108" t="s">
        <v>365</v>
      </c>
      <c r="AW187" s="108" t="s">
        <v>703</v>
      </c>
      <c r="AX187" s="108" t="s">
        <v>2</v>
      </c>
      <c r="AY187" s="109" t="s">
        <v>3</v>
      </c>
    </row>
    <row r="188" spans="2:65" s="2" customFormat="1" ht="204.95" customHeight="1">
      <c r="B188" s="3"/>
      <c r="C188" s="125" t="s">
        <v>257</v>
      </c>
      <c r="D188" s="125" t="s">
        <v>750</v>
      </c>
      <c r="E188" s="124" t="s">
        <v>2514</v>
      </c>
      <c r="F188" s="119" t="s">
        <v>2513</v>
      </c>
      <c r="G188" s="123" t="s">
        <v>714</v>
      </c>
      <c r="H188" s="122">
        <v>1</v>
      </c>
      <c r="I188" s="121"/>
      <c r="J188" s="120">
        <f>ROUND(I188*H188,2)</f>
        <v>0</v>
      </c>
      <c r="K188" s="119" t="s">
        <v>7</v>
      </c>
      <c r="L188" s="118"/>
      <c r="M188" s="117" t="s">
        <v>6</v>
      </c>
      <c r="N188" s="116" t="s">
        <v>5</v>
      </c>
      <c r="P188" s="22">
        <f>O188*H188</f>
        <v>0</v>
      </c>
      <c r="Q188" s="22">
        <v>0.5</v>
      </c>
      <c r="R188" s="22">
        <f>Q188*H188</f>
        <v>0.5</v>
      </c>
      <c r="S188" s="22">
        <v>0</v>
      </c>
      <c r="T188" s="21">
        <f>S188*H188</f>
        <v>0</v>
      </c>
      <c r="AR188" s="6" t="s">
        <v>283</v>
      </c>
      <c r="AT188" s="6" t="s">
        <v>750</v>
      </c>
      <c r="AU188" s="6" t="s">
        <v>365</v>
      </c>
      <c r="AY188" s="7" t="s">
        <v>3</v>
      </c>
      <c r="BE188" s="8">
        <f>IF(N188="základní",J188,0)</f>
        <v>0</v>
      </c>
      <c r="BF188" s="8">
        <f>IF(N188="snížená",J188,0)</f>
        <v>0</v>
      </c>
      <c r="BG188" s="8">
        <f>IF(N188="zákl. přenesená",J188,0)</f>
        <v>0</v>
      </c>
      <c r="BH188" s="8">
        <f>IF(N188="sníž. přenesená",J188,0)</f>
        <v>0</v>
      </c>
      <c r="BI188" s="8">
        <f>IF(N188="nulová",J188,0)</f>
        <v>0</v>
      </c>
      <c r="BJ188" s="7" t="s">
        <v>2</v>
      </c>
      <c r="BK188" s="8">
        <f>ROUND(I188*H188,2)</f>
        <v>0</v>
      </c>
      <c r="BL188" s="7" t="s">
        <v>328</v>
      </c>
      <c r="BM188" s="6" t="s">
        <v>2512</v>
      </c>
    </row>
    <row r="189" spans="2:65" s="2" customFormat="1" ht="24.2" customHeight="1">
      <c r="B189" s="3"/>
      <c r="C189" s="20" t="s">
        <v>254</v>
      </c>
      <c r="D189" s="20" t="s">
        <v>4</v>
      </c>
      <c r="E189" s="19" t="s">
        <v>2381</v>
      </c>
      <c r="F189" s="14" t="s">
        <v>2380</v>
      </c>
      <c r="G189" s="18" t="s">
        <v>722</v>
      </c>
      <c r="H189" s="17">
        <v>1</v>
      </c>
      <c r="I189" s="16"/>
      <c r="J189" s="15">
        <f>ROUND(I189*H189,2)</f>
        <v>0</v>
      </c>
      <c r="K189" s="14" t="s">
        <v>654</v>
      </c>
      <c r="L189" s="3"/>
      <c r="M189" s="24" t="s">
        <v>6</v>
      </c>
      <c r="N189" s="23" t="s">
        <v>5</v>
      </c>
      <c r="P189" s="22">
        <f>O189*H189</f>
        <v>0</v>
      </c>
      <c r="Q189" s="22">
        <v>0</v>
      </c>
      <c r="R189" s="22">
        <f>Q189*H189</f>
        <v>0</v>
      </c>
      <c r="S189" s="22">
        <v>0</v>
      </c>
      <c r="T189" s="21">
        <f>S189*H189</f>
        <v>0</v>
      </c>
      <c r="AR189" s="6" t="s">
        <v>328</v>
      </c>
      <c r="AT189" s="6" t="s">
        <v>4</v>
      </c>
      <c r="AU189" s="6" t="s">
        <v>365</v>
      </c>
      <c r="AY189" s="7" t="s">
        <v>3</v>
      </c>
      <c r="BE189" s="8">
        <f>IF(N189="základní",J189,0)</f>
        <v>0</v>
      </c>
      <c r="BF189" s="8">
        <f>IF(N189="snížená",J189,0)</f>
        <v>0</v>
      </c>
      <c r="BG189" s="8">
        <f>IF(N189="zákl. přenesená",J189,0)</f>
        <v>0</v>
      </c>
      <c r="BH189" s="8">
        <f>IF(N189="sníž. přenesená",J189,0)</f>
        <v>0</v>
      </c>
      <c r="BI189" s="8">
        <f>IF(N189="nulová",J189,0)</f>
        <v>0</v>
      </c>
      <c r="BJ189" s="7" t="s">
        <v>2</v>
      </c>
      <c r="BK189" s="8">
        <f>ROUND(I189*H189,2)</f>
        <v>0</v>
      </c>
      <c r="BL189" s="7" t="s">
        <v>328</v>
      </c>
      <c r="BM189" s="6" t="s">
        <v>2511</v>
      </c>
    </row>
    <row r="190" spans="2:65" s="2" customFormat="1">
      <c r="B190" s="3"/>
      <c r="D190" s="107" t="s">
        <v>651</v>
      </c>
      <c r="F190" s="106" t="s">
        <v>2378</v>
      </c>
      <c r="I190" s="94"/>
      <c r="L190" s="3"/>
      <c r="M190" s="100"/>
      <c r="T190" s="99"/>
      <c r="AT190" s="7" t="s">
        <v>651</v>
      </c>
      <c r="AU190" s="7" t="s">
        <v>365</v>
      </c>
    </row>
    <row r="191" spans="2:65" s="269" customFormat="1">
      <c r="B191" s="273"/>
      <c r="D191" s="96" t="s">
        <v>704</v>
      </c>
      <c r="E191" s="270" t="s">
        <v>6</v>
      </c>
      <c r="F191" s="275" t="s">
        <v>2442</v>
      </c>
      <c r="H191" s="270" t="s">
        <v>6</v>
      </c>
      <c r="I191" s="274"/>
      <c r="L191" s="273"/>
      <c r="M191" s="272"/>
      <c r="T191" s="271"/>
      <c r="AT191" s="270" t="s">
        <v>704</v>
      </c>
      <c r="AU191" s="270" t="s">
        <v>365</v>
      </c>
      <c r="AV191" s="269" t="s">
        <v>2</v>
      </c>
      <c r="AW191" s="269" t="s">
        <v>703</v>
      </c>
      <c r="AX191" s="269" t="s">
        <v>25</v>
      </c>
      <c r="AY191" s="270" t="s">
        <v>3</v>
      </c>
    </row>
    <row r="192" spans="2:65" s="269" customFormat="1">
      <c r="B192" s="273"/>
      <c r="D192" s="96" t="s">
        <v>704</v>
      </c>
      <c r="E192" s="270" t="s">
        <v>6</v>
      </c>
      <c r="F192" s="275" t="s">
        <v>2441</v>
      </c>
      <c r="H192" s="270" t="s">
        <v>6</v>
      </c>
      <c r="I192" s="274"/>
      <c r="L192" s="273"/>
      <c r="M192" s="272"/>
      <c r="T192" s="271"/>
      <c r="AT192" s="270" t="s">
        <v>704</v>
      </c>
      <c r="AU192" s="270" t="s">
        <v>365</v>
      </c>
      <c r="AV192" s="269" t="s">
        <v>2</v>
      </c>
      <c r="AW192" s="269" t="s">
        <v>703</v>
      </c>
      <c r="AX192" s="269" t="s">
        <v>25</v>
      </c>
      <c r="AY192" s="270" t="s">
        <v>3</v>
      </c>
    </row>
    <row r="193" spans="2:65" s="108" customFormat="1">
      <c r="B193" s="112"/>
      <c r="D193" s="96" t="s">
        <v>704</v>
      </c>
      <c r="E193" s="109" t="s">
        <v>6</v>
      </c>
      <c r="F193" s="115" t="s">
        <v>2</v>
      </c>
      <c r="H193" s="114">
        <v>1</v>
      </c>
      <c r="I193" s="113"/>
      <c r="L193" s="112"/>
      <c r="M193" s="111"/>
      <c r="T193" s="110"/>
      <c r="AT193" s="109" t="s">
        <v>704</v>
      </c>
      <c r="AU193" s="109" t="s">
        <v>365</v>
      </c>
      <c r="AV193" s="108" t="s">
        <v>365</v>
      </c>
      <c r="AW193" s="108" t="s">
        <v>703</v>
      </c>
      <c r="AX193" s="108" t="s">
        <v>2</v>
      </c>
      <c r="AY193" s="109" t="s">
        <v>3</v>
      </c>
    </row>
    <row r="194" spans="2:65" s="2" customFormat="1" ht="24.2" customHeight="1">
      <c r="B194" s="3"/>
      <c r="C194" s="125" t="s">
        <v>251</v>
      </c>
      <c r="D194" s="125" t="s">
        <v>750</v>
      </c>
      <c r="E194" s="124" t="s">
        <v>2510</v>
      </c>
      <c r="F194" s="119" t="s">
        <v>2509</v>
      </c>
      <c r="G194" s="123" t="s">
        <v>722</v>
      </c>
      <c r="H194" s="122">
        <v>1</v>
      </c>
      <c r="I194" s="121"/>
      <c r="J194" s="120">
        <f>ROUND(I194*H194,2)</f>
        <v>0</v>
      </c>
      <c r="K194" s="119" t="s">
        <v>7</v>
      </c>
      <c r="L194" s="118"/>
      <c r="M194" s="117" t="s">
        <v>6</v>
      </c>
      <c r="N194" s="116" t="s">
        <v>5</v>
      </c>
      <c r="P194" s="22">
        <f>O194*H194</f>
        <v>0</v>
      </c>
      <c r="Q194" s="22">
        <v>4.1000000000000003E-3</v>
      </c>
      <c r="R194" s="22">
        <f>Q194*H194</f>
        <v>4.1000000000000003E-3</v>
      </c>
      <c r="S194" s="22">
        <v>0</v>
      </c>
      <c r="T194" s="21">
        <f>S194*H194</f>
        <v>0</v>
      </c>
      <c r="AR194" s="6" t="s">
        <v>283</v>
      </c>
      <c r="AT194" s="6" t="s">
        <v>750</v>
      </c>
      <c r="AU194" s="6" t="s">
        <v>365</v>
      </c>
      <c r="AY194" s="7" t="s">
        <v>3</v>
      </c>
      <c r="BE194" s="8">
        <f>IF(N194="základní",J194,0)</f>
        <v>0</v>
      </c>
      <c r="BF194" s="8">
        <f>IF(N194="snížená",J194,0)</f>
        <v>0</v>
      </c>
      <c r="BG194" s="8">
        <f>IF(N194="zákl. přenesená",J194,0)</f>
        <v>0</v>
      </c>
      <c r="BH194" s="8">
        <f>IF(N194="sníž. přenesená",J194,0)</f>
        <v>0</v>
      </c>
      <c r="BI194" s="8">
        <f>IF(N194="nulová",J194,0)</f>
        <v>0</v>
      </c>
      <c r="BJ194" s="7" t="s">
        <v>2</v>
      </c>
      <c r="BK194" s="8">
        <f>ROUND(I194*H194,2)</f>
        <v>0</v>
      </c>
      <c r="BL194" s="7" t="s">
        <v>328</v>
      </c>
      <c r="BM194" s="6" t="s">
        <v>2508</v>
      </c>
    </row>
    <row r="195" spans="2:65" s="2" customFormat="1" ht="16.5" customHeight="1">
      <c r="B195" s="3"/>
      <c r="C195" s="125" t="s">
        <v>248</v>
      </c>
      <c r="D195" s="125" t="s">
        <v>750</v>
      </c>
      <c r="E195" s="124" t="s">
        <v>2507</v>
      </c>
      <c r="F195" s="119" t="s">
        <v>2506</v>
      </c>
      <c r="G195" s="123" t="s">
        <v>722</v>
      </c>
      <c r="H195" s="122">
        <v>2</v>
      </c>
      <c r="I195" s="121"/>
      <c r="J195" s="120">
        <f>ROUND(I195*H195,2)</f>
        <v>0</v>
      </c>
      <c r="K195" s="119" t="s">
        <v>7</v>
      </c>
      <c r="L195" s="118"/>
      <c r="M195" s="117" t="s">
        <v>6</v>
      </c>
      <c r="N195" s="116" t="s">
        <v>5</v>
      </c>
      <c r="P195" s="22">
        <f>O195*H195</f>
        <v>0</v>
      </c>
      <c r="Q195" s="22">
        <v>5.0000000000000002E-5</v>
      </c>
      <c r="R195" s="22">
        <f>Q195*H195</f>
        <v>1E-4</v>
      </c>
      <c r="S195" s="22">
        <v>0</v>
      </c>
      <c r="T195" s="21">
        <f>S195*H195</f>
        <v>0</v>
      </c>
      <c r="AR195" s="6" t="s">
        <v>283</v>
      </c>
      <c r="AT195" s="6" t="s">
        <v>750</v>
      </c>
      <c r="AU195" s="6" t="s">
        <v>365</v>
      </c>
      <c r="AY195" s="7" t="s">
        <v>3</v>
      </c>
      <c r="BE195" s="8">
        <f>IF(N195="základní",J195,0)</f>
        <v>0</v>
      </c>
      <c r="BF195" s="8">
        <f>IF(N195="snížená",J195,0)</f>
        <v>0</v>
      </c>
      <c r="BG195" s="8">
        <f>IF(N195="zákl. přenesená",J195,0)</f>
        <v>0</v>
      </c>
      <c r="BH195" s="8">
        <f>IF(N195="sníž. přenesená",J195,0)</f>
        <v>0</v>
      </c>
      <c r="BI195" s="8">
        <f>IF(N195="nulová",J195,0)</f>
        <v>0</v>
      </c>
      <c r="BJ195" s="7" t="s">
        <v>2</v>
      </c>
      <c r="BK195" s="8">
        <f>ROUND(I195*H195,2)</f>
        <v>0</v>
      </c>
      <c r="BL195" s="7" t="s">
        <v>328</v>
      </c>
      <c r="BM195" s="6" t="s">
        <v>2505</v>
      </c>
    </row>
    <row r="196" spans="2:65" s="2" customFormat="1" ht="16.5" customHeight="1">
      <c r="B196" s="3"/>
      <c r="C196" s="20" t="s">
        <v>245</v>
      </c>
      <c r="D196" s="20" t="s">
        <v>4</v>
      </c>
      <c r="E196" s="19" t="s">
        <v>2500</v>
      </c>
      <c r="F196" s="14" t="s">
        <v>2499</v>
      </c>
      <c r="G196" s="18" t="s">
        <v>722</v>
      </c>
      <c r="H196" s="17">
        <v>1</v>
      </c>
      <c r="I196" s="16"/>
      <c r="J196" s="15">
        <f>ROUND(I196*H196,2)</f>
        <v>0</v>
      </c>
      <c r="K196" s="14" t="s">
        <v>654</v>
      </c>
      <c r="L196" s="3"/>
      <c r="M196" s="24" t="s">
        <v>6</v>
      </c>
      <c r="N196" s="23" t="s">
        <v>5</v>
      </c>
      <c r="P196" s="22">
        <f>O196*H196</f>
        <v>0</v>
      </c>
      <c r="Q196" s="22">
        <v>0</v>
      </c>
      <c r="R196" s="22">
        <f>Q196*H196</f>
        <v>0</v>
      </c>
      <c r="S196" s="22">
        <v>0</v>
      </c>
      <c r="T196" s="21">
        <f>S196*H196</f>
        <v>0</v>
      </c>
      <c r="AR196" s="6" t="s">
        <v>328</v>
      </c>
      <c r="AT196" s="6" t="s">
        <v>4</v>
      </c>
      <c r="AU196" s="6" t="s">
        <v>365</v>
      </c>
      <c r="AY196" s="7" t="s">
        <v>3</v>
      </c>
      <c r="BE196" s="8">
        <f>IF(N196="základní",J196,0)</f>
        <v>0</v>
      </c>
      <c r="BF196" s="8">
        <f>IF(N196="snížená",J196,0)</f>
        <v>0</v>
      </c>
      <c r="BG196" s="8">
        <f>IF(N196="zákl. přenesená",J196,0)</f>
        <v>0</v>
      </c>
      <c r="BH196" s="8">
        <f>IF(N196="sníž. přenesená",J196,0)</f>
        <v>0</v>
      </c>
      <c r="BI196" s="8">
        <f>IF(N196="nulová",J196,0)</f>
        <v>0</v>
      </c>
      <c r="BJ196" s="7" t="s">
        <v>2</v>
      </c>
      <c r="BK196" s="8">
        <f>ROUND(I196*H196,2)</f>
        <v>0</v>
      </c>
      <c r="BL196" s="7" t="s">
        <v>328</v>
      </c>
      <c r="BM196" s="6" t="s">
        <v>2504</v>
      </c>
    </row>
    <row r="197" spans="2:65" s="2" customFormat="1">
      <c r="B197" s="3"/>
      <c r="D197" s="107" t="s">
        <v>651</v>
      </c>
      <c r="F197" s="106" t="s">
        <v>2497</v>
      </c>
      <c r="I197" s="94"/>
      <c r="L197" s="3"/>
      <c r="M197" s="100"/>
      <c r="T197" s="99"/>
      <c r="AT197" s="7" t="s">
        <v>651</v>
      </c>
      <c r="AU197" s="7" t="s">
        <v>365</v>
      </c>
    </row>
    <row r="198" spans="2:65" s="269" customFormat="1">
      <c r="B198" s="273"/>
      <c r="D198" s="96" t="s">
        <v>704</v>
      </c>
      <c r="E198" s="270" t="s">
        <v>6</v>
      </c>
      <c r="F198" s="275" t="s">
        <v>2442</v>
      </c>
      <c r="H198" s="270" t="s">
        <v>6</v>
      </c>
      <c r="I198" s="274"/>
      <c r="L198" s="273"/>
      <c r="M198" s="272"/>
      <c r="T198" s="271"/>
      <c r="AT198" s="270" t="s">
        <v>704</v>
      </c>
      <c r="AU198" s="270" t="s">
        <v>365</v>
      </c>
      <c r="AV198" s="269" t="s">
        <v>2</v>
      </c>
      <c r="AW198" s="269" t="s">
        <v>703</v>
      </c>
      <c r="AX198" s="269" t="s">
        <v>25</v>
      </c>
      <c r="AY198" s="270" t="s">
        <v>3</v>
      </c>
    </row>
    <row r="199" spans="2:65" s="269" customFormat="1">
      <c r="B199" s="273"/>
      <c r="D199" s="96" t="s">
        <v>704</v>
      </c>
      <c r="E199" s="270" t="s">
        <v>6</v>
      </c>
      <c r="F199" s="275" t="s">
        <v>2441</v>
      </c>
      <c r="H199" s="270" t="s">
        <v>6</v>
      </c>
      <c r="I199" s="274"/>
      <c r="L199" s="273"/>
      <c r="M199" s="272"/>
      <c r="T199" s="271"/>
      <c r="AT199" s="270" t="s">
        <v>704</v>
      </c>
      <c r="AU199" s="270" t="s">
        <v>365</v>
      </c>
      <c r="AV199" s="269" t="s">
        <v>2</v>
      </c>
      <c r="AW199" s="269" t="s">
        <v>703</v>
      </c>
      <c r="AX199" s="269" t="s">
        <v>25</v>
      </c>
      <c r="AY199" s="270" t="s">
        <v>3</v>
      </c>
    </row>
    <row r="200" spans="2:65" s="108" customFormat="1">
      <c r="B200" s="112"/>
      <c r="D200" s="96" t="s">
        <v>704</v>
      </c>
      <c r="E200" s="109" t="s">
        <v>6</v>
      </c>
      <c r="F200" s="115" t="s">
        <v>2</v>
      </c>
      <c r="H200" s="114">
        <v>1</v>
      </c>
      <c r="I200" s="113"/>
      <c r="L200" s="112"/>
      <c r="M200" s="111"/>
      <c r="T200" s="110"/>
      <c r="AT200" s="109" t="s">
        <v>704</v>
      </c>
      <c r="AU200" s="109" t="s">
        <v>365</v>
      </c>
      <c r="AV200" s="108" t="s">
        <v>365</v>
      </c>
      <c r="AW200" s="108" t="s">
        <v>703</v>
      </c>
      <c r="AX200" s="108" t="s">
        <v>2</v>
      </c>
      <c r="AY200" s="109" t="s">
        <v>3</v>
      </c>
    </row>
    <row r="201" spans="2:65" s="2" customFormat="1" ht="44.25" customHeight="1">
      <c r="B201" s="3"/>
      <c r="C201" s="125" t="s">
        <v>242</v>
      </c>
      <c r="D201" s="125" t="s">
        <v>750</v>
      </c>
      <c r="E201" s="124" t="s">
        <v>2503</v>
      </c>
      <c r="F201" s="119" t="s">
        <v>2502</v>
      </c>
      <c r="G201" s="123" t="s">
        <v>722</v>
      </c>
      <c r="H201" s="122">
        <v>1</v>
      </c>
      <c r="I201" s="121"/>
      <c r="J201" s="120">
        <f>ROUND(I201*H201,2)</f>
        <v>0</v>
      </c>
      <c r="K201" s="119" t="s">
        <v>7</v>
      </c>
      <c r="L201" s="118"/>
      <c r="M201" s="117" t="s">
        <v>6</v>
      </c>
      <c r="N201" s="116" t="s">
        <v>5</v>
      </c>
      <c r="P201" s="22">
        <f>O201*H201</f>
        <v>0</v>
      </c>
      <c r="Q201" s="22">
        <v>0.15</v>
      </c>
      <c r="R201" s="22">
        <f>Q201*H201</f>
        <v>0.15</v>
      </c>
      <c r="S201" s="22">
        <v>0</v>
      </c>
      <c r="T201" s="21">
        <f>S201*H201</f>
        <v>0</v>
      </c>
      <c r="AR201" s="6" t="s">
        <v>283</v>
      </c>
      <c r="AT201" s="6" t="s">
        <v>750</v>
      </c>
      <c r="AU201" s="6" t="s">
        <v>365</v>
      </c>
      <c r="AY201" s="7" t="s">
        <v>3</v>
      </c>
      <c r="BE201" s="8">
        <f>IF(N201="základní",J201,0)</f>
        <v>0</v>
      </c>
      <c r="BF201" s="8">
        <f>IF(N201="snížená",J201,0)</f>
        <v>0</v>
      </c>
      <c r="BG201" s="8">
        <f>IF(N201="zákl. přenesená",J201,0)</f>
        <v>0</v>
      </c>
      <c r="BH201" s="8">
        <f>IF(N201="sníž. přenesená",J201,0)</f>
        <v>0</v>
      </c>
      <c r="BI201" s="8">
        <f>IF(N201="nulová",J201,0)</f>
        <v>0</v>
      </c>
      <c r="BJ201" s="7" t="s">
        <v>2</v>
      </c>
      <c r="BK201" s="8">
        <f>ROUND(I201*H201,2)</f>
        <v>0</v>
      </c>
      <c r="BL201" s="7" t="s">
        <v>328</v>
      </c>
      <c r="BM201" s="6" t="s">
        <v>2501</v>
      </c>
    </row>
    <row r="202" spans="2:65" s="2" customFormat="1" ht="16.5" customHeight="1">
      <c r="B202" s="3"/>
      <c r="C202" s="20" t="s">
        <v>239</v>
      </c>
      <c r="D202" s="20" t="s">
        <v>4</v>
      </c>
      <c r="E202" s="19" t="s">
        <v>2500</v>
      </c>
      <c r="F202" s="14" t="s">
        <v>2499</v>
      </c>
      <c r="G202" s="18" t="s">
        <v>722</v>
      </c>
      <c r="H202" s="17">
        <v>1</v>
      </c>
      <c r="I202" s="16"/>
      <c r="J202" s="15">
        <f>ROUND(I202*H202,2)</f>
        <v>0</v>
      </c>
      <c r="K202" s="14" t="s">
        <v>654</v>
      </c>
      <c r="L202" s="3"/>
      <c r="M202" s="24" t="s">
        <v>6</v>
      </c>
      <c r="N202" s="23" t="s">
        <v>5</v>
      </c>
      <c r="P202" s="22">
        <f>O202*H202</f>
        <v>0</v>
      </c>
      <c r="Q202" s="22">
        <v>0</v>
      </c>
      <c r="R202" s="22">
        <f>Q202*H202</f>
        <v>0</v>
      </c>
      <c r="S202" s="22">
        <v>0</v>
      </c>
      <c r="T202" s="21">
        <f>S202*H202</f>
        <v>0</v>
      </c>
      <c r="AR202" s="6" t="s">
        <v>328</v>
      </c>
      <c r="AT202" s="6" t="s">
        <v>4</v>
      </c>
      <c r="AU202" s="6" t="s">
        <v>365</v>
      </c>
      <c r="AY202" s="7" t="s">
        <v>3</v>
      </c>
      <c r="BE202" s="8">
        <f>IF(N202="základní",J202,0)</f>
        <v>0</v>
      </c>
      <c r="BF202" s="8">
        <f>IF(N202="snížená",J202,0)</f>
        <v>0</v>
      </c>
      <c r="BG202" s="8">
        <f>IF(N202="zákl. přenesená",J202,0)</f>
        <v>0</v>
      </c>
      <c r="BH202" s="8">
        <f>IF(N202="sníž. přenesená",J202,0)</f>
        <v>0</v>
      </c>
      <c r="BI202" s="8">
        <f>IF(N202="nulová",J202,0)</f>
        <v>0</v>
      </c>
      <c r="BJ202" s="7" t="s">
        <v>2</v>
      </c>
      <c r="BK202" s="8">
        <f>ROUND(I202*H202,2)</f>
        <v>0</v>
      </c>
      <c r="BL202" s="7" t="s">
        <v>328</v>
      </c>
      <c r="BM202" s="6" t="s">
        <v>2498</v>
      </c>
    </row>
    <row r="203" spans="2:65" s="2" customFormat="1">
      <c r="B203" s="3"/>
      <c r="D203" s="107" t="s">
        <v>651</v>
      </c>
      <c r="F203" s="106" t="s">
        <v>2497</v>
      </c>
      <c r="I203" s="94"/>
      <c r="L203" s="3"/>
      <c r="M203" s="100"/>
      <c r="T203" s="99"/>
      <c r="AT203" s="7" t="s">
        <v>651</v>
      </c>
      <c r="AU203" s="7" t="s">
        <v>365</v>
      </c>
    </row>
    <row r="204" spans="2:65" s="269" customFormat="1">
      <c r="B204" s="273"/>
      <c r="D204" s="96" t="s">
        <v>704</v>
      </c>
      <c r="E204" s="270" t="s">
        <v>6</v>
      </c>
      <c r="F204" s="275" t="s">
        <v>2442</v>
      </c>
      <c r="H204" s="270" t="s">
        <v>6</v>
      </c>
      <c r="I204" s="274"/>
      <c r="L204" s="273"/>
      <c r="M204" s="272"/>
      <c r="T204" s="271"/>
      <c r="AT204" s="270" t="s">
        <v>704</v>
      </c>
      <c r="AU204" s="270" t="s">
        <v>365</v>
      </c>
      <c r="AV204" s="269" t="s">
        <v>2</v>
      </c>
      <c r="AW204" s="269" t="s">
        <v>703</v>
      </c>
      <c r="AX204" s="269" t="s">
        <v>25</v>
      </c>
      <c r="AY204" s="270" t="s">
        <v>3</v>
      </c>
    </row>
    <row r="205" spans="2:65" s="269" customFormat="1">
      <c r="B205" s="273"/>
      <c r="D205" s="96" t="s">
        <v>704</v>
      </c>
      <c r="E205" s="270" t="s">
        <v>6</v>
      </c>
      <c r="F205" s="275" t="s">
        <v>2441</v>
      </c>
      <c r="H205" s="270" t="s">
        <v>6</v>
      </c>
      <c r="I205" s="274"/>
      <c r="L205" s="273"/>
      <c r="M205" s="272"/>
      <c r="T205" s="271"/>
      <c r="AT205" s="270" t="s">
        <v>704</v>
      </c>
      <c r="AU205" s="270" t="s">
        <v>365</v>
      </c>
      <c r="AV205" s="269" t="s">
        <v>2</v>
      </c>
      <c r="AW205" s="269" t="s">
        <v>703</v>
      </c>
      <c r="AX205" s="269" t="s">
        <v>25</v>
      </c>
      <c r="AY205" s="270" t="s">
        <v>3</v>
      </c>
    </row>
    <row r="206" spans="2:65" s="108" customFormat="1">
      <c r="B206" s="112"/>
      <c r="D206" s="96" t="s">
        <v>704</v>
      </c>
      <c r="E206" s="109" t="s">
        <v>6</v>
      </c>
      <c r="F206" s="115" t="s">
        <v>2</v>
      </c>
      <c r="H206" s="114">
        <v>1</v>
      </c>
      <c r="I206" s="113"/>
      <c r="L206" s="112"/>
      <c r="M206" s="111"/>
      <c r="T206" s="110"/>
      <c r="AT206" s="109" t="s">
        <v>704</v>
      </c>
      <c r="AU206" s="109" t="s">
        <v>365</v>
      </c>
      <c r="AV206" s="108" t="s">
        <v>365</v>
      </c>
      <c r="AW206" s="108" t="s">
        <v>703</v>
      </c>
      <c r="AX206" s="108" t="s">
        <v>2</v>
      </c>
      <c r="AY206" s="109" t="s">
        <v>3</v>
      </c>
    </row>
    <row r="207" spans="2:65" s="2" customFormat="1" ht="44.25" customHeight="1">
      <c r="B207" s="3"/>
      <c r="C207" s="125" t="s">
        <v>236</v>
      </c>
      <c r="D207" s="125" t="s">
        <v>750</v>
      </c>
      <c r="E207" s="124" t="s">
        <v>2496</v>
      </c>
      <c r="F207" s="119" t="s">
        <v>2495</v>
      </c>
      <c r="G207" s="123" t="s">
        <v>722</v>
      </c>
      <c r="H207" s="122">
        <v>1</v>
      </c>
      <c r="I207" s="121"/>
      <c r="J207" s="120">
        <f>ROUND(I207*H207,2)</f>
        <v>0</v>
      </c>
      <c r="K207" s="119" t="s">
        <v>7</v>
      </c>
      <c r="L207" s="118"/>
      <c r="M207" s="117" t="s">
        <v>6</v>
      </c>
      <c r="N207" s="116" t="s">
        <v>5</v>
      </c>
      <c r="P207" s="22">
        <f>O207*H207</f>
        <v>0</v>
      </c>
      <c r="Q207" s="22">
        <v>0.15</v>
      </c>
      <c r="R207" s="22">
        <f>Q207*H207</f>
        <v>0.15</v>
      </c>
      <c r="S207" s="22">
        <v>0</v>
      </c>
      <c r="T207" s="21">
        <f>S207*H207</f>
        <v>0</v>
      </c>
      <c r="AR207" s="6" t="s">
        <v>283</v>
      </c>
      <c r="AT207" s="6" t="s">
        <v>750</v>
      </c>
      <c r="AU207" s="6" t="s">
        <v>365</v>
      </c>
      <c r="AY207" s="7" t="s">
        <v>3</v>
      </c>
      <c r="BE207" s="8">
        <f>IF(N207="základní",J207,0)</f>
        <v>0</v>
      </c>
      <c r="BF207" s="8">
        <f>IF(N207="snížená",J207,0)</f>
        <v>0</v>
      </c>
      <c r="BG207" s="8">
        <f>IF(N207="zákl. přenesená",J207,0)</f>
        <v>0</v>
      </c>
      <c r="BH207" s="8">
        <f>IF(N207="sníž. přenesená",J207,0)</f>
        <v>0</v>
      </c>
      <c r="BI207" s="8">
        <f>IF(N207="nulová",J207,0)</f>
        <v>0</v>
      </c>
      <c r="BJ207" s="7" t="s">
        <v>2</v>
      </c>
      <c r="BK207" s="8">
        <f>ROUND(I207*H207,2)</f>
        <v>0</v>
      </c>
      <c r="BL207" s="7" t="s">
        <v>328</v>
      </c>
      <c r="BM207" s="6" t="s">
        <v>2494</v>
      </c>
    </row>
    <row r="208" spans="2:65" s="2" customFormat="1" ht="16.5" customHeight="1">
      <c r="B208" s="3"/>
      <c r="C208" s="20" t="s">
        <v>233</v>
      </c>
      <c r="D208" s="20" t="s">
        <v>4</v>
      </c>
      <c r="E208" s="19" t="s">
        <v>2360</v>
      </c>
      <c r="F208" s="14" t="s">
        <v>2359</v>
      </c>
      <c r="G208" s="18" t="s">
        <v>722</v>
      </c>
      <c r="H208" s="17">
        <v>1</v>
      </c>
      <c r="I208" s="16"/>
      <c r="J208" s="15">
        <f>ROUND(I208*H208,2)</f>
        <v>0</v>
      </c>
      <c r="K208" s="14" t="s">
        <v>654</v>
      </c>
      <c r="L208" s="3"/>
      <c r="M208" s="24" t="s">
        <v>6</v>
      </c>
      <c r="N208" s="23" t="s">
        <v>5</v>
      </c>
      <c r="P208" s="22">
        <f>O208*H208</f>
        <v>0</v>
      </c>
      <c r="Q208" s="22">
        <v>0</v>
      </c>
      <c r="R208" s="22">
        <f>Q208*H208</f>
        <v>0</v>
      </c>
      <c r="S208" s="22">
        <v>0</v>
      </c>
      <c r="T208" s="21">
        <f>S208*H208</f>
        <v>0</v>
      </c>
      <c r="AR208" s="6" t="s">
        <v>328</v>
      </c>
      <c r="AT208" s="6" t="s">
        <v>4</v>
      </c>
      <c r="AU208" s="6" t="s">
        <v>365</v>
      </c>
      <c r="AY208" s="7" t="s">
        <v>3</v>
      </c>
      <c r="BE208" s="8">
        <f>IF(N208="základní",J208,0)</f>
        <v>0</v>
      </c>
      <c r="BF208" s="8">
        <f>IF(N208="snížená",J208,0)</f>
        <v>0</v>
      </c>
      <c r="BG208" s="8">
        <f>IF(N208="zákl. přenesená",J208,0)</f>
        <v>0</v>
      </c>
      <c r="BH208" s="8">
        <f>IF(N208="sníž. přenesená",J208,0)</f>
        <v>0</v>
      </c>
      <c r="BI208" s="8">
        <f>IF(N208="nulová",J208,0)</f>
        <v>0</v>
      </c>
      <c r="BJ208" s="7" t="s">
        <v>2</v>
      </c>
      <c r="BK208" s="8">
        <f>ROUND(I208*H208,2)</f>
        <v>0</v>
      </c>
      <c r="BL208" s="7" t="s">
        <v>328</v>
      </c>
      <c r="BM208" s="6" t="s">
        <v>2493</v>
      </c>
    </row>
    <row r="209" spans="2:65" s="2" customFormat="1">
      <c r="B209" s="3"/>
      <c r="D209" s="107" t="s">
        <v>651</v>
      </c>
      <c r="F209" s="106" t="s">
        <v>2357</v>
      </c>
      <c r="I209" s="94"/>
      <c r="L209" s="3"/>
      <c r="M209" s="100"/>
      <c r="T209" s="99"/>
      <c r="AT209" s="7" t="s">
        <v>651</v>
      </c>
      <c r="AU209" s="7" t="s">
        <v>365</v>
      </c>
    </row>
    <row r="210" spans="2:65" s="269" customFormat="1">
      <c r="B210" s="273"/>
      <c r="D210" s="96" t="s">
        <v>704</v>
      </c>
      <c r="E210" s="270" t="s">
        <v>6</v>
      </c>
      <c r="F210" s="275" t="s">
        <v>2442</v>
      </c>
      <c r="H210" s="270" t="s">
        <v>6</v>
      </c>
      <c r="I210" s="274"/>
      <c r="L210" s="273"/>
      <c r="M210" s="272"/>
      <c r="T210" s="271"/>
      <c r="AT210" s="270" t="s">
        <v>704</v>
      </c>
      <c r="AU210" s="270" t="s">
        <v>365</v>
      </c>
      <c r="AV210" s="269" t="s">
        <v>2</v>
      </c>
      <c r="AW210" s="269" t="s">
        <v>703</v>
      </c>
      <c r="AX210" s="269" t="s">
        <v>25</v>
      </c>
      <c r="AY210" s="270" t="s">
        <v>3</v>
      </c>
    </row>
    <row r="211" spans="2:65" s="269" customFormat="1">
      <c r="B211" s="273"/>
      <c r="D211" s="96" t="s">
        <v>704</v>
      </c>
      <c r="E211" s="270" t="s">
        <v>6</v>
      </c>
      <c r="F211" s="275" t="s">
        <v>2441</v>
      </c>
      <c r="H211" s="270" t="s">
        <v>6</v>
      </c>
      <c r="I211" s="274"/>
      <c r="L211" s="273"/>
      <c r="M211" s="272"/>
      <c r="T211" s="271"/>
      <c r="AT211" s="270" t="s">
        <v>704</v>
      </c>
      <c r="AU211" s="270" t="s">
        <v>365</v>
      </c>
      <c r="AV211" s="269" t="s">
        <v>2</v>
      </c>
      <c r="AW211" s="269" t="s">
        <v>703</v>
      </c>
      <c r="AX211" s="269" t="s">
        <v>25</v>
      </c>
      <c r="AY211" s="270" t="s">
        <v>3</v>
      </c>
    </row>
    <row r="212" spans="2:65" s="108" customFormat="1">
      <c r="B212" s="112"/>
      <c r="D212" s="96" t="s">
        <v>704</v>
      </c>
      <c r="E212" s="109" t="s">
        <v>6</v>
      </c>
      <c r="F212" s="115" t="s">
        <v>2</v>
      </c>
      <c r="H212" s="114">
        <v>1</v>
      </c>
      <c r="I212" s="113"/>
      <c r="L212" s="112"/>
      <c r="M212" s="111"/>
      <c r="T212" s="110"/>
      <c r="AT212" s="109" t="s">
        <v>704</v>
      </c>
      <c r="AU212" s="109" t="s">
        <v>365</v>
      </c>
      <c r="AV212" s="108" t="s">
        <v>365</v>
      </c>
      <c r="AW212" s="108" t="s">
        <v>703</v>
      </c>
      <c r="AX212" s="108" t="s">
        <v>2</v>
      </c>
      <c r="AY212" s="109" t="s">
        <v>3</v>
      </c>
    </row>
    <row r="213" spans="2:65" s="2" customFormat="1" ht="21.75" customHeight="1">
      <c r="B213" s="3"/>
      <c r="C213" s="125" t="s">
        <v>228</v>
      </c>
      <c r="D213" s="125" t="s">
        <v>750</v>
      </c>
      <c r="E213" s="124" t="s">
        <v>2492</v>
      </c>
      <c r="F213" s="119" t="s">
        <v>2491</v>
      </c>
      <c r="G213" s="123" t="s">
        <v>722</v>
      </c>
      <c r="H213" s="122">
        <v>1</v>
      </c>
      <c r="I213" s="121"/>
      <c r="J213" s="120">
        <f>ROUND(I213*H213,2)</f>
        <v>0</v>
      </c>
      <c r="K213" s="119" t="s">
        <v>7</v>
      </c>
      <c r="L213" s="118"/>
      <c r="M213" s="117" t="s">
        <v>6</v>
      </c>
      <c r="N213" s="116" t="s">
        <v>5</v>
      </c>
      <c r="P213" s="22">
        <f>O213*H213</f>
        <v>0</v>
      </c>
      <c r="Q213" s="22">
        <v>7.0000000000000001E-3</v>
      </c>
      <c r="R213" s="22">
        <f>Q213*H213</f>
        <v>7.0000000000000001E-3</v>
      </c>
      <c r="S213" s="22">
        <v>0</v>
      </c>
      <c r="T213" s="21">
        <f>S213*H213</f>
        <v>0</v>
      </c>
      <c r="AR213" s="6" t="s">
        <v>283</v>
      </c>
      <c r="AT213" s="6" t="s">
        <v>750</v>
      </c>
      <c r="AU213" s="6" t="s">
        <v>365</v>
      </c>
      <c r="AY213" s="7" t="s">
        <v>3</v>
      </c>
      <c r="BE213" s="8">
        <f>IF(N213="základní",J213,0)</f>
        <v>0</v>
      </c>
      <c r="BF213" s="8">
        <f>IF(N213="snížená",J213,0)</f>
        <v>0</v>
      </c>
      <c r="BG213" s="8">
        <f>IF(N213="zákl. přenesená",J213,0)</f>
        <v>0</v>
      </c>
      <c r="BH213" s="8">
        <f>IF(N213="sníž. přenesená",J213,0)</f>
        <v>0</v>
      </c>
      <c r="BI213" s="8">
        <f>IF(N213="nulová",J213,0)</f>
        <v>0</v>
      </c>
      <c r="BJ213" s="7" t="s">
        <v>2</v>
      </c>
      <c r="BK213" s="8">
        <f>ROUND(I213*H213,2)</f>
        <v>0</v>
      </c>
      <c r="BL213" s="7" t="s">
        <v>328</v>
      </c>
      <c r="BM213" s="6" t="s">
        <v>2490</v>
      </c>
    </row>
    <row r="214" spans="2:65" s="2" customFormat="1" ht="24.2" customHeight="1">
      <c r="B214" s="3"/>
      <c r="C214" s="20" t="s">
        <v>225</v>
      </c>
      <c r="D214" s="20" t="s">
        <v>4</v>
      </c>
      <c r="E214" s="19" t="s">
        <v>2485</v>
      </c>
      <c r="F214" s="14" t="s">
        <v>2484</v>
      </c>
      <c r="G214" s="18" t="s">
        <v>722</v>
      </c>
      <c r="H214" s="17">
        <v>1</v>
      </c>
      <c r="I214" s="16"/>
      <c r="J214" s="15">
        <f>ROUND(I214*H214,2)</f>
        <v>0</v>
      </c>
      <c r="K214" s="14" t="s">
        <v>654</v>
      </c>
      <c r="L214" s="3"/>
      <c r="M214" s="24" t="s">
        <v>6</v>
      </c>
      <c r="N214" s="23" t="s">
        <v>5</v>
      </c>
      <c r="P214" s="22">
        <f>O214*H214</f>
        <v>0</v>
      </c>
      <c r="Q214" s="22">
        <v>0</v>
      </c>
      <c r="R214" s="22">
        <f>Q214*H214</f>
        <v>0</v>
      </c>
      <c r="S214" s="22">
        <v>0</v>
      </c>
      <c r="T214" s="21">
        <f>S214*H214</f>
        <v>0</v>
      </c>
      <c r="AR214" s="6" t="s">
        <v>328</v>
      </c>
      <c r="AT214" s="6" t="s">
        <v>4</v>
      </c>
      <c r="AU214" s="6" t="s">
        <v>365</v>
      </c>
      <c r="AY214" s="7" t="s">
        <v>3</v>
      </c>
      <c r="BE214" s="8">
        <f>IF(N214="základní",J214,0)</f>
        <v>0</v>
      </c>
      <c r="BF214" s="8">
        <f>IF(N214="snížená",J214,0)</f>
        <v>0</v>
      </c>
      <c r="BG214" s="8">
        <f>IF(N214="zákl. přenesená",J214,0)</f>
        <v>0</v>
      </c>
      <c r="BH214" s="8">
        <f>IF(N214="sníž. přenesená",J214,0)</f>
        <v>0</v>
      </c>
      <c r="BI214" s="8">
        <f>IF(N214="nulová",J214,0)</f>
        <v>0</v>
      </c>
      <c r="BJ214" s="7" t="s">
        <v>2</v>
      </c>
      <c r="BK214" s="8">
        <f>ROUND(I214*H214,2)</f>
        <v>0</v>
      </c>
      <c r="BL214" s="7" t="s">
        <v>328</v>
      </c>
      <c r="BM214" s="6" t="s">
        <v>2489</v>
      </c>
    </row>
    <row r="215" spans="2:65" s="2" customFormat="1">
      <c r="B215" s="3"/>
      <c r="D215" s="107" t="s">
        <v>651</v>
      </c>
      <c r="F215" s="106" t="s">
        <v>2482</v>
      </c>
      <c r="I215" s="94"/>
      <c r="L215" s="3"/>
      <c r="M215" s="100"/>
      <c r="T215" s="99"/>
      <c r="AT215" s="7" t="s">
        <v>651</v>
      </c>
      <c r="AU215" s="7" t="s">
        <v>365</v>
      </c>
    </row>
    <row r="216" spans="2:65" s="269" customFormat="1">
      <c r="B216" s="273"/>
      <c r="D216" s="96" t="s">
        <v>704</v>
      </c>
      <c r="E216" s="270" t="s">
        <v>6</v>
      </c>
      <c r="F216" s="275" t="s">
        <v>2442</v>
      </c>
      <c r="H216" s="270" t="s">
        <v>6</v>
      </c>
      <c r="I216" s="274"/>
      <c r="L216" s="273"/>
      <c r="M216" s="272"/>
      <c r="T216" s="271"/>
      <c r="AT216" s="270" t="s">
        <v>704</v>
      </c>
      <c r="AU216" s="270" t="s">
        <v>365</v>
      </c>
      <c r="AV216" s="269" t="s">
        <v>2</v>
      </c>
      <c r="AW216" s="269" t="s">
        <v>703</v>
      </c>
      <c r="AX216" s="269" t="s">
        <v>25</v>
      </c>
      <c r="AY216" s="270" t="s">
        <v>3</v>
      </c>
    </row>
    <row r="217" spans="2:65" s="269" customFormat="1">
      <c r="B217" s="273"/>
      <c r="D217" s="96" t="s">
        <v>704</v>
      </c>
      <c r="E217" s="270" t="s">
        <v>6</v>
      </c>
      <c r="F217" s="275" t="s">
        <v>2441</v>
      </c>
      <c r="H217" s="270" t="s">
        <v>6</v>
      </c>
      <c r="I217" s="274"/>
      <c r="L217" s="273"/>
      <c r="M217" s="272"/>
      <c r="T217" s="271"/>
      <c r="AT217" s="270" t="s">
        <v>704</v>
      </c>
      <c r="AU217" s="270" t="s">
        <v>365</v>
      </c>
      <c r="AV217" s="269" t="s">
        <v>2</v>
      </c>
      <c r="AW217" s="269" t="s">
        <v>703</v>
      </c>
      <c r="AX217" s="269" t="s">
        <v>25</v>
      </c>
      <c r="AY217" s="270" t="s">
        <v>3</v>
      </c>
    </row>
    <row r="218" spans="2:65" s="108" customFormat="1">
      <c r="B218" s="112"/>
      <c r="D218" s="96" t="s">
        <v>704</v>
      </c>
      <c r="E218" s="109" t="s">
        <v>6</v>
      </c>
      <c r="F218" s="115" t="s">
        <v>2</v>
      </c>
      <c r="H218" s="114">
        <v>1</v>
      </c>
      <c r="I218" s="113"/>
      <c r="L218" s="112"/>
      <c r="M218" s="111"/>
      <c r="T218" s="110"/>
      <c r="AT218" s="109" t="s">
        <v>704</v>
      </c>
      <c r="AU218" s="109" t="s">
        <v>365</v>
      </c>
      <c r="AV218" s="108" t="s">
        <v>365</v>
      </c>
      <c r="AW218" s="108" t="s">
        <v>703</v>
      </c>
      <c r="AX218" s="108" t="s">
        <v>2</v>
      </c>
      <c r="AY218" s="109" t="s">
        <v>3</v>
      </c>
    </row>
    <row r="219" spans="2:65" s="2" customFormat="1" ht="16.5" customHeight="1">
      <c r="B219" s="3"/>
      <c r="C219" s="125" t="s">
        <v>222</v>
      </c>
      <c r="D219" s="125" t="s">
        <v>750</v>
      </c>
      <c r="E219" s="124" t="s">
        <v>2488</v>
      </c>
      <c r="F219" s="119" t="s">
        <v>2487</v>
      </c>
      <c r="G219" s="123" t="s">
        <v>722</v>
      </c>
      <c r="H219" s="122">
        <v>1</v>
      </c>
      <c r="I219" s="121"/>
      <c r="J219" s="120">
        <f>ROUND(I219*H219,2)</f>
        <v>0</v>
      </c>
      <c r="K219" s="119" t="s">
        <v>7</v>
      </c>
      <c r="L219" s="118"/>
      <c r="M219" s="117" t="s">
        <v>6</v>
      </c>
      <c r="N219" s="116" t="s">
        <v>5</v>
      </c>
      <c r="P219" s="22">
        <f>O219*H219</f>
        <v>0</v>
      </c>
      <c r="Q219" s="22">
        <v>2.9000000000000001E-2</v>
      </c>
      <c r="R219" s="22">
        <f>Q219*H219</f>
        <v>2.9000000000000001E-2</v>
      </c>
      <c r="S219" s="22">
        <v>0</v>
      </c>
      <c r="T219" s="21">
        <f>S219*H219</f>
        <v>0</v>
      </c>
      <c r="AR219" s="6" t="s">
        <v>283</v>
      </c>
      <c r="AT219" s="6" t="s">
        <v>750</v>
      </c>
      <c r="AU219" s="6" t="s">
        <v>365</v>
      </c>
      <c r="AY219" s="7" t="s">
        <v>3</v>
      </c>
      <c r="BE219" s="8">
        <f>IF(N219="základní",J219,0)</f>
        <v>0</v>
      </c>
      <c r="BF219" s="8">
        <f>IF(N219="snížená",J219,0)</f>
        <v>0</v>
      </c>
      <c r="BG219" s="8">
        <f>IF(N219="zákl. přenesená",J219,0)</f>
        <v>0</v>
      </c>
      <c r="BH219" s="8">
        <f>IF(N219="sníž. přenesená",J219,0)</f>
        <v>0</v>
      </c>
      <c r="BI219" s="8">
        <f>IF(N219="nulová",J219,0)</f>
        <v>0</v>
      </c>
      <c r="BJ219" s="7" t="s">
        <v>2</v>
      </c>
      <c r="BK219" s="8">
        <f>ROUND(I219*H219,2)</f>
        <v>0</v>
      </c>
      <c r="BL219" s="7" t="s">
        <v>328</v>
      </c>
      <c r="BM219" s="6" t="s">
        <v>2486</v>
      </c>
    </row>
    <row r="220" spans="2:65" s="2" customFormat="1" ht="24.2" customHeight="1">
      <c r="B220" s="3"/>
      <c r="C220" s="20" t="s">
        <v>218</v>
      </c>
      <c r="D220" s="20" t="s">
        <v>4</v>
      </c>
      <c r="E220" s="19" t="s">
        <v>2485</v>
      </c>
      <c r="F220" s="14" t="s">
        <v>2484</v>
      </c>
      <c r="G220" s="18" t="s">
        <v>722</v>
      </c>
      <c r="H220" s="17">
        <v>1</v>
      </c>
      <c r="I220" s="16"/>
      <c r="J220" s="15">
        <f>ROUND(I220*H220,2)</f>
        <v>0</v>
      </c>
      <c r="K220" s="14" t="s">
        <v>654</v>
      </c>
      <c r="L220" s="3"/>
      <c r="M220" s="24" t="s">
        <v>6</v>
      </c>
      <c r="N220" s="23" t="s">
        <v>5</v>
      </c>
      <c r="P220" s="22">
        <f>O220*H220</f>
        <v>0</v>
      </c>
      <c r="Q220" s="22">
        <v>0</v>
      </c>
      <c r="R220" s="22">
        <f>Q220*H220</f>
        <v>0</v>
      </c>
      <c r="S220" s="22">
        <v>0</v>
      </c>
      <c r="T220" s="21">
        <f>S220*H220</f>
        <v>0</v>
      </c>
      <c r="AR220" s="6" t="s">
        <v>328</v>
      </c>
      <c r="AT220" s="6" t="s">
        <v>4</v>
      </c>
      <c r="AU220" s="6" t="s">
        <v>365</v>
      </c>
      <c r="AY220" s="7" t="s">
        <v>3</v>
      </c>
      <c r="BE220" s="8">
        <f>IF(N220="základní",J220,0)</f>
        <v>0</v>
      </c>
      <c r="BF220" s="8">
        <f>IF(N220="snížená",J220,0)</f>
        <v>0</v>
      </c>
      <c r="BG220" s="8">
        <f>IF(N220="zákl. přenesená",J220,0)</f>
        <v>0</v>
      </c>
      <c r="BH220" s="8">
        <f>IF(N220="sníž. přenesená",J220,0)</f>
        <v>0</v>
      </c>
      <c r="BI220" s="8">
        <f>IF(N220="nulová",J220,0)</f>
        <v>0</v>
      </c>
      <c r="BJ220" s="7" t="s">
        <v>2</v>
      </c>
      <c r="BK220" s="8">
        <f>ROUND(I220*H220,2)</f>
        <v>0</v>
      </c>
      <c r="BL220" s="7" t="s">
        <v>328</v>
      </c>
      <c r="BM220" s="6" t="s">
        <v>2483</v>
      </c>
    </row>
    <row r="221" spans="2:65" s="2" customFormat="1">
      <c r="B221" s="3"/>
      <c r="D221" s="107" t="s">
        <v>651</v>
      </c>
      <c r="F221" s="106" t="s">
        <v>2482</v>
      </c>
      <c r="I221" s="94"/>
      <c r="L221" s="3"/>
      <c r="M221" s="100"/>
      <c r="T221" s="99"/>
      <c r="AT221" s="7" t="s">
        <v>651</v>
      </c>
      <c r="AU221" s="7" t="s">
        <v>365</v>
      </c>
    </row>
    <row r="222" spans="2:65" s="269" customFormat="1">
      <c r="B222" s="273"/>
      <c r="D222" s="96" t="s">
        <v>704</v>
      </c>
      <c r="E222" s="270" t="s">
        <v>6</v>
      </c>
      <c r="F222" s="275" t="s">
        <v>2442</v>
      </c>
      <c r="H222" s="270" t="s">
        <v>6</v>
      </c>
      <c r="I222" s="274"/>
      <c r="L222" s="273"/>
      <c r="M222" s="272"/>
      <c r="T222" s="271"/>
      <c r="AT222" s="270" t="s">
        <v>704</v>
      </c>
      <c r="AU222" s="270" t="s">
        <v>365</v>
      </c>
      <c r="AV222" s="269" t="s">
        <v>2</v>
      </c>
      <c r="AW222" s="269" t="s">
        <v>703</v>
      </c>
      <c r="AX222" s="269" t="s">
        <v>25</v>
      </c>
      <c r="AY222" s="270" t="s">
        <v>3</v>
      </c>
    </row>
    <row r="223" spans="2:65" s="269" customFormat="1">
      <c r="B223" s="273"/>
      <c r="D223" s="96" t="s">
        <v>704</v>
      </c>
      <c r="E223" s="270" t="s">
        <v>6</v>
      </c>
      <c r="F223" s="275" t="s">
        <v>2441</v>
      </c>
      <c r="H223" s="270" t="s">
        <v>6</v>
      </c>
      <c r="I223" s="274"/>
      <c r="L223" s="273"/>
      <c r="M223" s="272"/>
      <c r="T223" s="271"/>
      <c r="AT223" s="270" t="s">
        <v>704</v>
      </c>
      <c r="AU223" s="270" t="s">
        <v>365</v>
      </c>
      <c r="AV223" s="269" t="s">
        <v>2</v>
      </c>
      <c r="AW223" s="269" t="s">
        <v>703</v>
      </c>
      <c r="AX223" s="269" t="s">
        <v>25</v>
      </c>
      <c r="AY223" s="270" t="s">
        <v>3</v>
      </c>
    </row>
    <row r="224" spans="2:65" s="108" customFormat="1">
      <c r="B224" s="112"/>
      <c r="D224" s="96" t="s">
        <v>704</v>
      </c>
      <c r="E224" s="109" t="s">
        <v>6</v>
      </c>
      <c r="F224" s="115" t="s">
        <v>2</v>
      </c>
      <c r="H224" s="114">
        <v>1</v>
      </c>
      <c r="I224" s="113"/>
      <c r="L224" s="112"/>
      <c r="M224" s="111"/>
      <c r="T224" s="110"/>
      <c r="AT224" s="109" t="s">
        <v>704</v>
      </c>
      <c r="AU224" s="109" t="s">
        <v>365</v>
      </c>
      <c r="AV224" s="108" t="s">
        <v>365</v>
      </c>
      <c r="AW224" s="108" t="s">
        <v>703</v>
      </c>
      <c r="AX224" s="108" t="s">
        <v>2</v>
      </c>
      <c r="AY224" s="109" t="s">
        <v>3</v>
      </c>
    </row>
    <row r="225" spans="2:65" s="2" customFormat="1" ht="16.5" customHeight="1">
      <c r="B225" s="3"/>
      <c r="C225" s="125" t="s">
        <v>214</v>
      </c>
      <c r="D225" s="125" t="s">
        <v>750</v>
      </c>
      <c r="E225" s="124" t="s">
        <v>2481</v>
      </c>
      <c r="F225" s="119" t="s">
        <v>2480</v>
      </c>
      <c r="G225" s="123" t="s">
        <v>722</v>
      </c>
      <c r="H225" s="122">
        <v>1</v>
      </c>
      <c r="I225" s="121"/>
      <c r="J225" s="120">
        <f>ROUND(I225*H225,2)</f>
        <v>0</v>
      </c>
      <c r="K225" s="119" t="s">
        <v>7</v>
      </c>
      <c r="L225" s="118"/>
      <c r="M225" s="117" t="s">
        <v>6</v>
      </c>
      <c r="N225" s="116" t="s">
        <v>5</v>
      </c>
      <c r="P225" s="22">
        <f>O225*H225</f>
        <v>0</v>
      </c>
      <c r="Q225" s="22">
        <v>2.75E-2</v>
      </c>
      <c r="R225" s="22">
        <f>Q225*H225</f>
        <v>2.75E-2</v>
      </c>
      <c r="S225" s="22">
        <v>0</v>
      </c>
      <c r="T225" s="21">
        <f>S225*H225</f>
        <v>0</v>
      </c>
      <c r="AR225" s="6" t="s">
        <v>283</v>
      </c>
      <c r="AT225" s="6" t="s">
        <v>750</v>
      </c>
      <c r="AU225" s="6" t="s">
        <v>365</v>
      </c>
      <c r="AY225" s="7" t="s">
        <v>3</v>
      </c>
      <c r="BE225" s="8">
        <f>IF(N225="základní",J225,0)</f>
        <v>0</v>
      </c>
      <c r="BF225" s="8">
        <f>IF(N225="snížená",J225,0)</f>
        <v>0</v>
      </c>
      <c r="BG225" s="8">
        <f>IF(N225="zákl. přenesená",J225,0)</f>
        <v>0</v>
      </c>
      <c r="BH225" s="8">
        <f>IF(N225="sníž. přenesená",J225,0)</f>
        <v>0</v>
      </c>
      <c r="BI225" s="8">
        <f>IF(N225="nulová",J225,0)</f>
        <v>0</v>
      </c>
      <c r="BJ225" s="7" t="s">
        <v>2</v>
      </c>
      <c r="BK225" s="8">
        <f>ROUND(I225*H225,2)</f>
        <v>0</v>
      </c>
      <c r="BL225" s="7" t="s">
        <v>328</v>
      </c>
      <c r="BM225" s="6" t="s">
        <v>2479</v>
      </c>
    </row>
    <row r="226" spans="2:65" s="2" customFormat="1" ht="24.2" customHeight="1">
      <c r="B226" s="3"/>
      <c r="C226" s="20" t="s">
        <v>210</v>
      </c>
      <c r="D226" s="20" t="s">
        <v>4</v>
      </c>
      <c r="E226" s="19" t="s">
        <v>2331</v>
      </c>
      <c r="F226" s="14" t="s">
        <v>2330</v>
      </c>
      <c r="G226" s="18" t="s">
        <v>722</v>
      </c>
      <c r="H226" s="17">
        <v>1</v>
      </c>
      <c r="I226" s="16"/>
      <c r="J226" s="15">
        <f>ROUND(I226*H226,2)</f>
        <v>0</v>
      </c>
      <c r="K226" s="14" t="s">
        <v>654</v>
      </c>
      <c r="L226" s="3"/>
      <c r="M226" s="24" t="s">
        <v>6</v>
      </c>
      <c r="N226" s="23" t="s">
        <v>5</v>
      </c>
      <c r="P226" s="22">
        <f>O226*H226</f>
        <v>0</v>
      </c>
      <c r="Q226" s="22">
        <v>0</v>
      </c>
      <c r="R226" s="22">
        <f>Q226*H226</f>
        <v>0</v>
      </c>
      <c r="S226" s="22">
        <v>0</v>
      </c>
      <c r="T226" s="21">
        <f>S226*H226</f>
        <v>0</v>
      </c>
      <c r="AR226" s="6" t="s">
        <v>328</v>
      </c>
      <c r="AT226" s="6" t="s">
        <v>4</v>
      </c>
      <c r="AU226" s="6" t="s">
        <v>365</v>
      </c>
      <c r="AY226" s="7" t="s">
        <v>3</v>
      </c>
      <c r="BE226" s="8">
        <f>IF(N226="základní",J226,0)</f>
        <v>0</v>
      </c>
      <c r="BF226" s="8">
        <f>IF(N226="snížená",J226,0)</f>
        <v>0</v>
      </c>
      <c r="BG226" s="8">
        <f>IF(N226="zákl. přenesená",J226,0)</f>
        <v>0</v>
      </c>
      <c r="BH226" s="8">
        <f>IF(N226="sníž. přenesená",J226,0)</f>
        <v>0</v>
      </c>
      <c r="BI226" s="8">
        <f>IF(N226="nulová",J226,0)</f>
        <v>0</v>
      </c>
      <c r="BJ226" s="7" t="s">
        <v>2</v>
      </c>
      <c r="BK226" s="8">
        <f>ROUND(I226*H226,2)</f>
        <v>0</v>
      </c>
      <c r="BL226" s="7" t="s">
        <v>328</v>
      </c>
      <c r="BM226" s="6" t="s">
        <v>2478</v>
      </c>
    </row>
    <row r="227" spans="2:65" s="2" customFormat="1">
      <c r="B227" s="3"/>
      <c r="D227" s="107" t="s">
        <v>651</v>
      </c>
      <c r="F227" s="106" t="s">
        <v>2328</v>
      </c>
      <c r="I227" s="94"/>
      <c r="L227" s="3"/>
      <c r="M227" s="100"/>
      <c r="T227" s="99"/>
      <c r="AT227" s="7" t="s">
        <v>651</v>
      </c>
      <c r="AU227" s="7" t="s">
        <v>365</v>
      </c>
    </row>
    <row r="228" spans="2:65" s="269" customFormat="1">
      <c r="B228" s="273"/>
      <c r="D228" s="96" t="s">
        <v>704</v>
      </c>
      <c r="E228" s="270" t="s">
        <v>6</v>
      </c>
      <c r="F228" s="275" t="s">
        <v>2442</v>
      </c>
      <c r="H228" s="270" t="s">
        <v>6</v>
      </c>
      <c r="I228" s="274"/>
      <c r="L228" s="273"/>
      <c r="M228" s="272"/>
      <c r="T228" s="271"/>
      <c r="AT228" s="270" t="s">
        <v>704</v>
      </c>
      <c r="AU228" s="270" t="s">
        <v>365</v>
      </c>
      <c r="AV228" s="269" t="s">
        <v>2</v>
      </c>
      <c r="AW228" s="269" t="s">
        <v>703</v>
      </c>
      <c r="AX228" s="269" t="s">
        <v>25</v>
      </c>
      <c r="AY228" s="270" t="s">
        <v>3</v>
      </c>
    </row>
    <row r="229" spans="2:65" s="269" customFormat="1">
      <c r="B229" s="273"/>
      <c r="D229" s="96" t="s">
        <v>704</v>
      </c>
      <c r="E229" s="270" t="s">
        <v>6</v>
      </c>
      <c r="F229" s="275" t="s">
        <v>2441</v>
      </c>
      <c r="H229" s="270" t="s">
        <v>6</v>
      </c>
      <c r="I229" s="274"/>
      <c r="L229" s="273"/>
      <c r="M229" s="272"/>
      <c r="T229" s="271"/>
      <c r="AT229" s="270" t="s">
        <v>704</v>
      </c>
      <c r="AU229" s="270" t="s">
        <v>365</v>
      </c>
      <c r="AV229" s="269" t="s">
        <v>2</v>
      </c>
      <c r="AW229" s="269" t="s">
        <v>703</v>
      </c>
      <c r="AX229" s="269" t="s">
        <v>25</v>
      </c>
      <c r="AY229" s="270" t="s">
        <v>3</v>
      </c>
    </row>
    <row r="230" spans="2:65" s="108" customFormat="1">
      <c r="B230" s="112"/>
      <c r="D230" s="96" t="s">
        <v>704</v>
      </c>
      <c r="E230" s="109" t="s">
        <v>6</v>
      </c>
      <c r="F230" s="115" t="s">
        <v>2</v>
      </c>
      <c r="H230" s="114">
        <v>1</v>
      </c>
      <c r="I230" s="113"/>
      <c r="L230" s="112"/>
      <c r="M230" s="111"/>
      <c r="T230" s="110"/>
      <c r="AT230" s="109" t="s">
        <v>704</v>
      </c>
      <c r="AU230" s="109" t="s">
        <v>365</v>
      </c>
      <c r="AV230" s="108" t="s">
        <v>365</v>
      </c>
      <c r="AW230" s="108" t="s">
        <v>703</v>
      </c>
      <c r="AX230" s="108" t="s">
        <v>2</v>
      </c>
      <c r="AY230" s="109" t="s">
        <v>3</v>
      </c>
    </row>
    <row r="231" spans="2:65" s="2" customFormat="1" ht="24.2" customHeight="1">
      <c r="B231" s="3"/>
      <c r="C231" s="125" t="s">
        <v>206</v>
      </c>
      <c r="D231" s="125" t="s">
        <v>750</v>
      </c>
      <c r="E231" s="124" t="s">
        <v>2477</v>
      </c>
      <c r="F231" s="119" t="s">
        <v>2333</v>
      </c>
      <c r="G231" s="123" t="s">
        <v>722</v>
      </c>
      <c r="H231" s="122">
        <v>1</v>
      </c>
      <c r="I231" s="121"/>
      <c r="J231" s="120">
        <f>ROUND(I231*H231,2)</f>
        <v>0</v>
      </c>
      <c r="K231" s="119" t="s">
        <v>7</v>
      </c>
      <c r="L231" s="118"/>
      <c r="M231" s="117" t="s">
        <v>6</v>
      </c>
      <c r="N231" s="116" t="s">
        <v>5</v>
      </c>
      <c r="P231" s="22">
        <f>O231*H231</f>
        <v>0</v>
      </c>
      <c r="Q231" s="22">
        <v>3.0000000000000001E-3</v>
      </c>
      <c r="R231" s="22">
        <f>Q231*H231</f>
        <v>3.0000000000000001E-3</v>
      </c>
      <c r="S231" s="22">
        <v>0</v>
      </c>
      <c r="T231" s="21">
        <f>S231*H231</f>
        <v>0</v>
      </c>
      <c r="AR231" s="6" t="s">
        <v>283</v>
      </c>
      <c r="AT231" s="6" t="s">
        <v>750</v>
      </c>
      <c r="AU231" s="6" t="s">
        <v>365</v>
      </c>
      <c r="AY231" s="7" t="s">
        <v>3</v>
      </c>
      <c r="BE231" s="8">
        <f>IF(N231="základní",J231,0)</f>
        <v>0</v>
      </c>
      <c r="BF231" s="8">
        <f>IF(N231="snížená",J231,0)</f>
        <v>0</v>
      </c>
      <c r="BG231" s="8">
        <f>IF(N231="zákl. přenesená",J231,0)</f>
        <v>0</v>
      </c>
      <c r="BH231" s="8">
        <f>IF(N231="sníž. přenesená",J231,0)</f>
        <v>0</v>
      </c>
      <c r="BI231" s="8">
        <f>IF(N231="nulová",J231,0)</f>
        <v>0</v>
      </c>
      <c r="BJ231" s="7" t="s">
        <v>2</v>
      </c>
      <c r="BK231" s="8">
        <f>ROUND(I231*H231,2)</f>
        <v>0</v>
      </c>
      <c r="BL231" s="7" t="s">
        <v>328</v>
      </c>
      <c r="BM231" s="6" t="s">
        <v>2476</v>
      </c>
    </row>
    <row r="232" spans="2:65" s="2" customFormat="1" ht="24.2" customHeight="1">
      <c r="B232" s="3"/>
      <c r="C232" s="20" t="s">
        <v>203</v>
      </c>
      <c r="D232" s="20" t="s">
        <v>4</v>
      </c>
      <c r="E232" s="19" t="s">
        <v>2475</v>
      </c>
      <c r="F232" s="14" t="s">
        <v>2474</v>
      </c>
      <c r="G232" s="18" t="s">
        <v>722</v>
      </c>
      <c r="H232" s="17">
        <v>1</v>
      </c>
      <c r="I232" s="16"/>
      <c r="J232" s="15">
        <f>ROUND(I232*H232,2)</f>
        <v>0</v>
      </c>
      <c r="K232" s="14" t="s">
        <v>654</v>
      </c>
      <c r="L232" s="3"/>
      <c r="M232" s="24" t="s">
        <v>6</v>
      </c>
      <c r="N232" s="23" t="s">
        <v>5</v>
      </c>
      <c r="P232" s="22">
        <f>O232*H232</f>
        <v>0</v>
      </c>
      <c r="Q232" s="22">
        <v>0</v>
      </c>
      <c r="R232" s="22">
        <f>Q232*H232</f>
        <v>0</v>
      </c>
      <c r="S232" s="22">
        <v>0</v>
      </c>
      <c r="T232" s="21">
        <f>S232*H232</f>
        <v>0</v>
      </c>
      <c r="AR232" s="6" t="s">
        <v>328</v>
      </c>
      <c r="AT232" s="6" t="s">
        <v>4</v>
      </c>
      <c r="AU232" s="6" t="s">
        <v>365</v>
      </c>
      <c r="AY232" s="7" t="s">
        <v>3</v>
      </c>
      <c r="BE232" s="8">
        <f>IF(N232="základní",J232,0)</f>
        <v>0</v>
      </c>
      <c r="BF232" s="8">
        <f>IF(N232="snížená",J232,0)</f>
        <v>0</v>
      </c>
      <c r="BG232" s="8">
        <f>IF(N232="zákl. přenesená",J232,0)</f>
        <v>0</v>
      </c>
      <c r="BH232" s="8">
        <f>IF(N232="sníž. přenesená",J232,0)</f>
        <v>0</v>
      </c>
      <c r="BI232" s="8">
        <f>IF(N232="nulová",J232,0)</f>
        <v>0</v>
      </c>
      <c r="BJ232" s="7" t="s">
        <v>2</v>
      </c>
      <c r="BK232" s="8">
        <f>ROUND(I232*H232,2)</f>
        <v>0</v>
      </c>
      <c r="BL232" s="7" t="s">
        <v>328</v>
      </c>
      <c r="BM232" s="6" t="s">
        <v>2473</v>
      </c>
    </row>
    <row r="233" spans="2:65" s="2" customFormat="1">
      <c r="B233" s="3"/>
      <c r="D233" s="107" t="s">
        <v>651</v>
      </c>
      <c r="F233" s="106" t="s">
        <v>2472</v>
      </c>
      <c r="I233" s="94"/>
      <c r="L233" s="3"/>
      <c r="M233" s="100"/>
      <c r="T233" s="99"/>
      <c r="AT233" s="7" t="s">
        <v>651</v>
      </c>
      <c r="AU233" s="7" t="s">
        <v>365</v>
      </c>
    </row>
    <row r="234" spans="2:65" s="269" customFormat="1">
      <c r="B234" s="273"/>
      <c r="D234" s="96" t="s">
        <v>704</v>
      </c>
      <c r="E234" s="270" t="s">
        <v>6</v>
      </c>
      <c r="F234" s="275" t="s">
        <v>2442</v>
      </c>
      <c r="H234" s="270" t="s">
        <v>6</v>
      </c>
      <c r="I234" s="274"/>
      <c r="L234" s="273"/>
      <c r="M234" s="272"/>
      <c r="T234" s="271"/>
      <c r="AT234" s="270" t="s">
        <v>704</v>
      </c>
      <c r="AU234" s="270" t="s">
        <v>365</v>
      </c>
      <c r="AV234" s="269" t="s">
        <v>2</v>
      </c>
      <c r="AW234" s="269" t="s">
        <v>703</v>
      </c>
      <c r="AX234" s="269" t="s">
        <v>25</v>
      </c>
      <c r="AY234" s="270" t="s">
        <v>3</v>
      </c>
    </row>
    <row r="235" spans="2:65" s="269" customFormat="1">
      <c r="B235" s="273"/>
      <c r="D235" s="96" t="s">
        <v>704</v>
      </c>
      <c r="E235" s="270" t="s">
        <v>6</v>
      </c>
      <c r="F235" s="275" t="s">
        <v>2441</v>
      </c>
      <c r="H235" s="270" t="s">
        <v>6</v>
      </c>
      <c r="I235" s="274"/>
      <c r="L235" s="273"/>
      <c r="M235" s="272"/>
      <c r="T235" s="271"/>
      <c r="AT235" s="270" t="s">
        <v>704</v>
      </c>
      <c r="AU235" s="270" t="s">
        <v>365</v>
      </c>
      <c r="AV235" s="269" t="s">
        <v>2</v>
      </c>
      <c r="AW235" s="269" t="s">
        <v>703</v>
      </c>
      <c r="AX235" s="269" t="s">
        <v>25</v>
      </c>
      <c r="AY235" s="270" t="s">
        <v>3</v>
      </c>
    </row>
    <row r="236" spans="2:65" s="108" customFormat="1">
      <c r="B236" s="112"/>
      <c r="D236" s="96" t="s">
        <v>704</v>
      </c>
      <c r="E236" s="109" t="s">
        <v>6</v>
      </c>
      <c r="F236" s="115" t="s">
        <v>2</v>
      </c>
      <c r="H236" s="114">
        <v>1</v>
      </c>
      <c r="I236" s="113"/>
      <c r="L236" s="112"/>
      <c r="M236" s="111"/>
      <c r="T236" s="110"/>
      <c r="AT236" s="109" t="s">
        <v>704</v>
      </c>
      <c r="AU236" s="109" t="s">
        <v>365</v>
      </c>
      <c r="AV236" s="108" t="s">
        <v>365</v>
      </c>
      <c r="AW236" s="108" t="s">
        <v>703</v>
      </c>
      <c r="AX236" s="108" t="s">
        <v>2</v>
      </c>
      <c r="AY236" s="109" t="s">
        <v>3</v>
      </c>
    </row>
    <row r="237" spans="2:65" s="2" customFormat="1" ht="24.2" customHeight="1">
      <c r="B237" s="3"/>
      <c r="C237" s="125" t="s">
        <v>199</v>
      </c>
      <c r="D237" s="125" t="s">
        <v>750</v>
      </c>
      <c r="E237" s="124" t="s">
        <v>2471</v>
      </c>
      <c r="F237" s="119" t="s">
        <v>2470</v>
      </c>
      <c r="G237" s="123" t="s">
        <v>722</v>
      </c>
      <c r="H237" s="122">
        <v>1</v>
      </c>
      <c r="I237" s="121"/>
      <c r="J237" s="120">
        <f>ROUND(I237*H237,2)</f>
        <v>0</v>
      </c>
      <c r="K237" s="119" t="s">
        <v>7</v>
      </c>
      <c r="L237" s="118"/>
      <c r="M237" s="117" t="s">
        <v>6</v>
      </c>
      <c r="N237" s="116" t="s">
        <v>5</v>
      </c>
      <c r="P237" s="22">
        <f>O237*H237</f>
        <v>0</v>
      </c>
      <c r="Q237" s="22">
        <v>4.0000000000000001E-3</v>
      </c>
      <c r="R237" s="22">
        <f>Q237*H237</f>
        <v>4.0000000000000001E-3</v>
      </c>
      <c r="S237" s="22">
        <v>0</v>
      </c>
      <c r="T237" s="21">
        <f>S237*H237</f>
        <v>0</v>
      </c>
      <c r="AR237" s="6" t="s">
        <v>283</v>
      </c>
      <c r="AT237" s="6" t="s">
        <v>750</v>
      </c>
      <c r="AU237" s="6" t="s">
        <v>365</v>
      </c>
      <c r="AY237" s="7" t="s">
        <v>3</v>
      </c>
      <c r="BE237" s="8">
        <f>IF(N237="základní",J237,0)</f>
        <v>0</v>
      </c>
      <c r="BF237" s="8">
        <f>IF(N237="snížená",J237,0)</f>
        <v>0</v>
      </c>
      <c r="BG237" s="8">
        <f>IF(N237="zákl. přenesená",J237,0)</f>
        <v>0</v>
      </c>
      <c r="BH237" s="8">
        <f>IF(N237="sníž. přenesená",J237,0)</f>
        <v>0</v>
      </c>
      <c r="BI237" s="8">
        <f>IF(N237="nulová",J237,0)</f>
        <v>0</v>
      </c>
      <c r="BJ237" s="7" t="s">
        <v>2</v>
      </c>
      <c r="BK237" s="8">
        <f>ROUND(I237*H237,2)</f>
        <v>0</v>
      </c>
      <c r="BL237" s="7" t="s">
        <v>328</v>
      </c>
      <c r="BM237" s="6" t="s">
        <v>2469</v>
      </c>
    </row>
    <row r="238" spans="2:65" s="2" customFormat="1" ht="21.75" customHeight="1">
      <c r="B238" s="3"/>
      <c r="C238" s="20" t="s">
        <v>195</v>
      </c>
      <c r="D238" s="20" t="s">
        <v>4</v>
      </c>
      <c r="E238" s="19" t="s">
        <v>2273</v>
      </c>
      <c r="F238" s="14" t="s">
        <v>2272</v>
      </c>
      <c r="G238" s="18" t="s">
        <v>21</v>
      </c>
      <c r="H238" s="17">
        <v>1</v>
      </c>
      <c r="I238" s="16"/>
      <c r="J238" s="15">
        <f>ROUND(I238*H238,2)</f>
        <v>0</v>
      </c>
      <c r="K238" s="14" t="s">
        <v>654</v>
      </c>
      <c r="L238" s="3"/>
      <c r="M238" s="24" t="s">
        <v>6</v>
      </c>
      <c r="N238" s="23" t="s">
        <v>5</v>
      </c>
      <c r="P238" s="22">
        <f>O238*H238</f>
        <v>0</v>
      </c>
      <c r="Q238" s="22">
        <v>2.6689999999999998E-2</v>
      </c>
      <c r="R238" s="22">
        <f>Q238*H238</f>
        <v>2.6689999999999998E-2</v>
      </c>
      <c r="S238" s="22">
        <v>0</v>
      </c>
      <c r="T238" s="21">
        <f>S238*H238</f>
        <v>0</v>
      </c>
      <c r="AR238" s="6" t="s">
        <v>328</v>
      </c>
      <c r="AT238" s="6" t="s">
        <v>4</v>
      </c>
      <c r="AU238" s="6" t="s">
        <v>365</v>
      </c>
      <c r="AY238" s="7" t="s">
        <v>3</v>
      </c>
      <c r="BE238" s="8">
        <f>IF(N238="základní",J238,0)</f>
        <v>0</v>
      </c>
      <c r="BF238" s="8">
        <f>IF(N238="snížená",J238,0)</f>
        <v>0</v>
      </c>
      <c r="BG238" s="8">
        <f>IF(N238="zákl. přenesená",J238,0)</f>
        <v>0</v>
      </c>
      <c r="BH238" s="8">
        <f>IF(N238="sníž. přenesená",J238,0)</f>
        <v>0</v>
      </c>
      <c r="BI238" s="8">
        <f>IF(N238="nulová",J238,0)</f>
        <v>0</v>
      </c>
      <c r="BJ238" s="7" t="s">
        <v>2</v>
      </c>
      <c r="BK238" s="8">
        <f>ROUND(I238*H238,2)</f>
        <v>0</v>
      </c>
      <c r="BL238" s="7" t="s">
        <v>328</v>
      </c>
      <c r="BM238" s="6" t="s">
        <v>2468</v>
      </c>
    </row>
    <row r="239" spans="2:65" s="2" customFormat="1">
      <c r="B239" s="3"/>
      <c r="D239" s="107" t="s">
        <v>651</v>
      </c>
      <c r="F239" s="106" t="s">
        <v>2270</v>
      </c>
      <c r="I239" s="94"/>
      <c r="L239" s="3"/>
      <c r="M239" s="100"/>
      <c r="T239" s="99"/>
      <c r="AT239" s="7" t="s">
        <v>651</v>
      </c>
      <c r="AU239" s="7" t="s">
        <v>365</v>
      </c>
    </row>
    <row r="240" spans="2:65" s="2" customFormat="1" ht="48.75">
      <c r="B240" s="3"/>
      <c r="D240" s="96" t="s">
        <v>731</v>
      </c>
      <c r="F240" s="95" t="s">
        <v>2073</v>
      </c>
      <c r="I240" s="94"/>
      <c r="L240" s="3"/>
      <c r="M240" s="100"/>
      <c r="T240" s="99"/>
      <c r="AT240" s="7" t="s">
        <v>731</v>
      </c>
      <c r="AU240" s="7" t="s">
        <v>365</v>
      </c>
    </row>
    <row r="241" spans="2:65" s="269" customFormat="1">
      <c r="B241" s="273"/>
      <c r="D241" s="96" t="s">
        <v>704</v>
      </c>
      <c r="E241" s="270" t="s">
        <v>6</v>
      </c>
      <c r="F241" s="275" t="s">
        <v>2442</v>
      </c>
      <c r="H241" s="270" t="s">
        <v>6</v>
      </c>
      <c r="I241" s="274"/>
      <c r="L241" s="273"/>
      <c r="M241" s="272"/>
      <c r="T241" s="271"/>
      <c r="AT241" s="270" t="s">
        <v>704</v>
      </c>
      <c r="AU241" s="270" t="s">
        <v>365</v>
      </c>
      <c r="AV241" s="269" t="s">
        <v>2</v>
      </c>
      <c r="AW241" s="269" t="s">
        <v>703</v>
      </c>
      <c r="AX241" s="269" t="s">
        <v>25</v>
      </c>
      <c r="AY241" s="270" t="s">
        <v>3</v>
      </c>
    </row>
    <row r="242" spans="2:65" s="269" customFormat="1">
      <c r="B242" s="273"/>
      <c r="D242" s="96" t="s">
        <v>704</v>
      </c>
      <c r="E242" s="270" t="s">
        <v>6</v>
      </c>
      <c r="F242" s="275" t="s">
        <v>2441</v>
      </c>
      <c r="H242" s="270" t="s">
        <v>6</v>
      </c>
      <c r="I242" s="274"/>
      <c r="L242" s="273"/>
      <c r="M242" s="272"/>
      <c r="T242" s="271"/>
      <c r="AT242" s="270" t="s">
        <v>704</v>
      </c>
      <c r="AU242" s="270" t="s">
        <v>365</v>
      </c>
      <c r="AV242" s="269" t="s">
        <v>2</v>
      </c>
      <c r="AW242" s="269" t="s">
        <v>703</v>
      </c>
      <c r="AX242" s="269" t="s">
        <v>25</v>
      </c>
      <c r="AY242" s="270" t="s">
        <v>3</v>
      </c>
    </row>
    <row r="243" spans="2:65" s="108" customFormat="1">
      <c r="B243" s="112"/>
      <c r="D243" s="96" t="s">
        <v>704</v>
      </c>
      <c r="E243" s="109" t="s">
        <v>6</v>
      </c>
      <c r="F243" s="115" t="s">
        <v>2467</v>
      </c>
      <c r="H243" s="114">
        <v>1</v>
      </c>
      <c r="I243" s="113"/>
      <c r="L243" s="112"/>
      <c r="M243" s="111"/>
      <c r="T243" s="110"/>
      <c r="AT243" s="109" t="s">
        <v>704</v>
      </c>
      <c r="AU243" s="109" t="s">
        <v>365</v>
      </c>
      <c r="AV243" s="108" t="s">
        <v>365</v>
      </c>
      <c r="AW243" s="108" t="s">
        <v>703</v>
      </c>
      <c r="AX243" s="108" t="s">
        <v>2</v>
      </c>
      <c r="AY243" s="109" t="s">
        <v>3</v>
      </c>
    </row>
    <row r="244" spans="2:65" s="2" customFormat="1" ht="21.75" customHeight="1">
      <c r="B244" s="3"/>
      <c r="C244" s="20" t="s">
        <v>191</v>
      </c>
      <c r="D244" s="20" t="s">
        <v>4</v>
      </c>
      <c r="E244" s="19" t="s">
        <v>2268</v>
      </c>
      <c r="F244" s="14" t="s">
        <v>2267</v>
      </c>
      <c r="G244" s="18" t="s">
        <v>21</v>
      </c>
      <c r="H244" s="17">
        <v>5.5</v>
      </c>
      <c r="I244" s="16"/>
      <c r="J244" s="15">
        <f>ROUND(I244*H244,2)</f>
        <v>0</v>
      </c>
      <c r="K244" s="14" t="s">
        <v>654</v>
      </c>
      <c r="L244" s="3"/>
      <c r="M244" s="24" t="s">
        <v>6</v>
      </c>
      <c r="N244" s="23" t="s">
        <v>5</v>
      </c>
      <c r="P244" s="22">
        <f>O244*H244</f>
        <v>0</v>
      </c>
      <c r="Q244" s="22">
        <v>4.4339999999999997E-2</v>
      </c>
      <c r="R244" s="22">
        <f>Q244*H244</f>
        <v>0.24386999999999998</v>
      </c>
      <c r="S244" s="22">
        <v>0</v>
      </c>
      <c r="T244" s="21">
        <f>S244*H244</f>
        <v>0</v>
      </c>
      <c r="AR244" s="6" t="s">
        <v>328</v>
      </c>
      <c r="AT244" s="6" t="s">
        <v>4</v>
      </c>
      <c r="AU244" s="6" t="s">
        <v>365</v>
      </c>
      <c r="AY244" s="7" t="s">
        <v>3</v>
      </c>
      <c r="BE244" s="8">
        <f>IF(N244="základní",J244,0)</f>
        <v>0</v>
      </c>
      <c r="BF244" s="8">
        <f>IF(N244="snížená",J244,0)</f>
        <v>0</v>
      </c>
      <c r="BG244" s="8">
        <f>IF(N244="zákl. přenesená",J244,0)</f>
        <v>0</v>
      </c>
      <c r="BH244" s="8">
        <f>IF(N244="sníž. přenesená",J244,0)</f>
        <v>0</v>
      </c>
      <c r="BI244" s="8">
        <f>IF(N244="nulová",J244,0)</f>
        <v>0</v>
      </c>
      <c r="BJ244" s="7" t="s">
        <v>2</v>
      </c>
      <c r="BK244" s="8">
        <f>ROUND(I244*H244,2)</f>
        <v>0</v>
      </c>
      <c r="BL244" s="7" t="s">
        <v>328</v>
      </c>
      <c r="BM244" s="6" t="s">
        <v>2466</v>
      </c>
    </row>
    <row r="245" spans="2:65" s="2" customFormat="1">
      <c r="B245" s="3"/>
      <c r="D245" s="107" t="s">
        <v>651</v>
      </c>
      <c r="F245" s="106" t="s">
        <v>2265</v>
      </c>
      <c r="I245" s="94"/>
      <c r="L245" s="3"/>
      <c r="M245" s="100"/>
      <c r="T245" s="99"/>
      <c r="AT245" s="7" t="s">
        <v>651</v>
      </c>
      <c r="AU245" s="7" t="s">
        <v>365</v>
      </c>
    </row>
    <row r="246" spans="2:65" s="2" customFormat="1" ht="48.75">
      <c r="B246" s="3"/>
      <c r="D246" s="96" t="s">
        <v>731</v>
      </c>
      <c r="F246" s="95" t="s">
        <v>2073</v>
      </c>
      <c r="I246" s="94"/>
      <c r="L246" s="3"/>
      <c r="M246" s="100"/>
      <c r="T246" s="99"/>
      <c r="AT246" s="7" t="s">
        <v>731</v>
      </c>
      <c r="AU246" s="7" t="s">
        <v>365</v>
      </c>
    </row>
    <row r="247" spans="2:65" s="269" customFormat="1">
      <c r="B247" s="273"/>
      <c r="D247" s="96" t="s">
        <v>704</v>
      </c>
      <c r="E247" s="270" t="s">
        <v>6</v>
      </c>
      <c r="F247" s="275" t="s">
        <v>2442</v>
      </c>
      <c r="H247" s="270" t="s">
        <v>6</v>
      </c>
      <c r="I247" s="274"/>
      <c r="L247" s="273"/>
      <c r="M247" s="272"/>
      <c r="T247" s="271"/>
      <c r="AT247" s="270" t="s">
        <v>704</v>
      </c>
      <c r="AU247" s="270" t="s">
        <v>365</v>
      </c>
      <c r="AV247" s="269" t="s">
        <v>2</v>
      </c>
      <c r="AW247" s="269" t="s">
        <v>703</v>
      </c>
      <c r="AX247" s="269" t="s">
        <v>25</v>
      </c>
      <c r="AY247" s="270" t="s">
        <v>3</v>
      </c>
    </row>
    <row r="248" spans="2:65" s="269" customFormat="1">
      <c r="B248" s="273"/>
      <c r="D248" s="96" t="s">
        <v>704</v>
      </c>
      <c r="E248" s="270" t="s">
        <v>6</v>
      </c>
      <c r="F248" s="275" t="s">
        <v>2441</v>
      </c>
      <c r="H248" s="270" t="s">
        <v>6</v>
      </c>
      <c r="I248" s="274"/>
      <c r="L248" s="273"/>
      <c r="M248" s="272"/>
      <c r="T248" s="271"/>
      <c r="AT248" s="270" t="s">
        <v>704</v>
      </c>
      <c r="AU248" s="270" t="s">
        <v>365</v>
      </c>
      <c r="AV248" s="269" t="s">
        <v>2</v>
      </c>
      <c r="AW248" s="269" t="s">
        <v>703</v>
      </c>
      <c r="AX248" s="269" t="s">
        <v>25</v>
      </c>
      <c r="AY248" s="270" t="s">
        <v>3</v>
      </c>
    </row>
    <row r="249" spans="2:65" s="108" customFormat="1">
      <c r="B249" s="112"/>
      <c r="D249" s="96" t="s">
        <v>704</v>
      </c>
      <c r="E249" s="109" t="s">
        <v>6</v>
      </c>
      <c r="F249" s="115" t="s">
        <v>2465</v>
      </c>
      <c r="H249" s="114">
        <v>5.5</v>
      </c>
      <c r="I249" s="113"/>
      <c r="L249" s="112"/>
      <c r="M249" s="111"/>
      <c r="T249" s="110"/>
      <c r="AT249" s="109" t="s">
        <v>704</v>
      </c>
      <c r="AU249" s="109" t="s">
        <v>365</v>
      </c>
      <c r="AV249" s="108" t="s">
        <v>365</v>
      </c>
      <c r="AW249" s="108" t="s">
        <v>703</v>
      </c>
      <c r="AX249" s="108" t="s">
        <v>2</v>
      </c>
      <c r="AY249" s="109" t="s">
        <v>3</v>
      </c>
    </row>
    <row r="250" spans="2:65" s="2" customFormat="1" ht="21.75" customHeight="1">
      <c r="B250" s="3"/>
      <c r="C250" s="20" t="s">
        <v>187</v>
      </c>
      <c r="D250" s="20" t="s">
        <v>4</v>
      </c>
      <c r="E250" s="19" t="s">
        <v>2464</v>
      </c>
      <c r="F250" s="14" t="s">
        <v>2463</v>
      </c>
      <c r="G250" s="18" t="s">
        <v>21</v>
      </c>
      <c r="H250" s="17">
        <v>1.8</v>
      </c>
      <c r="I250" s="16"/>
      <c r="J250" s="15">
        <f>ROUND(I250*H250,2)</f>
        <v>0</v>
      </c>
      <c r="K250" s="14" t="s">
        <v>654</v>
      </c>
      <c r="L250" s="3"/>
      <c r="M250" s="24" t="s">
        <v>6</v>
      </c>
      <c r="N250" s="23" t="s">
        <v>5</v>
      </c>
      <c r="P250" s="22">
        <f>O250*H250</f>
        <v>0</v>
      </c>
      <c r="Q250" s="22">
        <v>4.9099999999999998E-2</v>
      </c>
      <c r="R250" s="22">
        <f>Q250*H250</f>
        <v>8.838E-2</v>
      </c>
      <c r="S250" s="22">
        <v>0</v>
      </c>
      <c r="T250" s="21">
        <f>S250*H250</f>
        <v>0</v>
      </c>
      <c r="AR250" s="6" t="s">
        <v>328</v>
      </c>
      <c r="AT250" s="6" t="s">
        <v>4</v>
      </c>
      <c r="AU250" s="6" t="s">
        <v>365</v>
      </c>
      <c r="AY250" s="7" t="s">
        <v>3</v>
      </c>
      <c r="BE250" s="8">
        <f>IF(N250="základní",J250,0)</f>
        <v>0</v>
      </c>
      <c r="BF250" s="8">
        <f>IF(N250="snížená",J250,0)</f>
        <v>0</v>
      </c>
      <c r="BG250" s="8">
        <f>IF(N250="zákl. přenesená",J250,0)</f>
        <v>0</v>
      </c>
      <c r="BH250" s="8">
        <f>IF(N250="sníž. přenesená",J250,0)</f>
        <v>0</v>
      </c>
      <c r="BI250" s="8">
        <f>IF(N250="nulová",J250,0)</f>
        <v>0</v>
      </c>
      <c r="BJ250" s="7" t="s">
        <v>2</v>
      </c>
      <c r="BK250" s="8">
        <f>ROUND(I250*H250,2)</f>
        <v>0</v>
      </c>
      <c r="BL250" s="7" t="s">
        <v>328</v>
      </c>
      <c r="BM250" s="6" t="s">
        <v>2462</v>
      </c>
    </row>
    <row r="251" spans="2:65" s="2" customFormat="1">
      <c r="B251" s="3"/>
      <c r="D251" s="107" t="s">
        <v>651</v>
      </c>
      <c r="F251" s="106" t="s">
        <v>2461</v>
      </c>
      <c r="I251" s="94"/>
      <c r="L251" s="3"/>
      <c r="M251" s="100"/>
      <c r="T251" s="99"/>
      <c r="AT251" s="7" t="s">
        <v>651</v>
      </c>
      <c r="AU251" s="7" t="s">
        <v>365</v>
      </c>
    </row>
    <row r="252" spans="2:65" s="2" customFormat="1" ht="48.75">
      <c r="B252" s="3"/>
      <c r="D252" s="96" t="s">
        <v>731</v>
      </c>
      <c r="F252" s="95" t="s">
        <v>2073</v>
      </c>
      <c r="I252" s="94"/>
      <c r="L252" s="3"/>
      <c r="M252" s="100"/>
      <c r="T252" s="99"/>
      <c r="AT252" s="7" t="s">
        <v>731</v>
      </c>
      <c r="AU252" s="7" t="s">
        <v>365</v>
      </c>
    </row>
    <row r="253" spans="2:65" s="269" customFormat="1">
      <c r="B253" s="273"/>
      <c r="D253" s="96" t="s">
        <v>704</v>
      </c>
      <c r="E253" s="270" t="s">
        <v>6</v>
      </c>
      <c r="F253" s="275" t="s">
        <v>2442</v>
      </c>
      <c r="H253" s="270" t="s">
        <v>6</v>
      </c>
      <c r="I253" s="274"/>
      <c r="L253" s="273"/>
      <c r="M253" s="272"/>
      <c r="T253" s="271"/>
      <c r="AT253" s="270" t="s">
        <v>704</v>
      </c>
      <c r="AU253" s="270" t="s">
        <v>365</v>
      </c>
      <c r="AV253" s="269" t="s">
        <v>2</v>
      </c>
      <c r="AW253" s="269" t="s">
        <v>703</v>
      </c>
      <c r="AX253" s="269" t="s">
        <v>25</v>
      </c>
      <c r="AY253" s="270" t="s">
        <v>3</v>
      </c>
    </row>
    <row r="254" spans="2:65" s="269" customFormat="1">
      <c r="B254" s="273"/>
      <c r="D254" s="96" t="s">
        <v>704</v>
      </c>
      <c r="E254" s="270" t="s">
        <v>6</v>
      </c>
      <c r="F254" s="275" t="s">
        <v>2441</v>
      </c>
      <c r="H254" s="270" t="s">
        <v>6</v>
      </c>
      <c r="I254" s="274"/>
      <c r="L254" s="273"/>
      <c r="M254" s="272"/>
      <c r="T254" s="271"/>
      <c r="AT254" s="270" t="s">
        <v>704</v>
      </c>
      <c r="AU254" s="270" t="s">
        <v>365</v>
      </c>
      <c r="AV254" s="269" t="s">
        <v>2</v>
      </c>
      <c r="AW254" s="269" t="s">
        <v>703</v>
      </c>
      <c r="AX254" s="269" t="s">
        <v>25</v>
      </c>
      <c r="AY254" s="270" t="s">
        <v>3</v>
      </c>
    </row>
    <row r="255" spans="2:65" s="108" customFormat="1">
      <c r="B255" s="112"/>
      <c r="D255" s="96" t="s">
        <v>704</v>
      </c>
      <c r="E255" s="109" t="s">
        <v>6</v>
      </c>
      <c r="F255" s="115" t="s">
        <v>2460</v>
      </c>
      <c r="H255" s="114">
        <v>1.8</v>
      </c>
      <c r="I255" s="113"/>
      <c r="L255" s="112"/>
      <c r="M255" s="111"/>
      <c r="T255" s="110"/>
      <c r="AT255" s="109" t="s">
        <v>704</v>
      </c>
      <c r="AU255" s="109" t="s">
        <v>365</v>
      </c>
      <c r="AV255" s="108" t="s">
        <v>365</v>
      </c>
      <c r="AW255" s="108" t="s">
        <v>703</v>
      </c>
      <c r="AX255" s="108" t="s">
        <v>2</v>
      </c>
      <c r="AY255" s="109" t="s">
        <v>3</v>
      </c>
    </row>
    <row r="256" spans="2:65" s="2" customFormat="1" ht="21.75" customHeight="1">
      <c r="B256" s="3"/>
      <c r="C256" s="20" t="s">
        <v>183</v>
      </c>
      <c r="D256" s="20" t="s">
        <v>4</v>
      </c>
      <c r="E256" s="19" t="s">
        <v>2459</v>
      </c>
      <c r="F256" s="14" t="s">
        <v>2458</v>
      </c>
      <c r="G256" s="18" t="s">
        <v>21</v>
      </c>
      <c r="H256" s="17">
        <v>4.2</v>
      </c>
      <c r="I256" s="16"/>
      <c r="J256" s="15">
        <f>ROUND(I256*H256,2)</f>
        <v>0</v>
      </c>
      <c r="K256" s="14" t="s">
        <v>654</v>
      </c>
      <c r="L256" s="3"/>
      <c r="M256" s="24" t="s">
        <v>6</v>
      </c>
      <c r="N256" s="23" t="s">
        <v>5</v>
      </c>
      <c r="P256" s="22">
        <f>O256*H256</f>
        <v>0</v>
      </c>
      <c r="Q256" s="22">
        <v>5.654E-2</v>
      </c>
      <c r="R256" s="22">
        <f>Q256*H256</f>
        <v>0.23746800000000001</v>
      </c>
      <c r="S256" s="22">
        <v>0</v>
      </c>
      <c r="T256" s="21">
        <f>S256*H256</f>
        <v>0</v>
      </c>
      <c r="AR256" s="6" t="s">
        <v>328</v>
      </c>
      <c r="AT256" s="6" t="s">
        <v>4</v>
      </c>
      <c r="AU256" s="6" t="s">
        <v>365</v>
      </c>
      <c r="AY256" s="7" t="s">
        <v>3</v>
      </c>
      <c r="BE256" s="8">
        <f>IF(N256="základní",J256,0)</f>
        <v>0</v>
      </c>
      <c r="BF256" s="8">
        <f>IF(N256="snížená",J256,0)</f>
        <v>0</v>
      </c>
      <c r="BG256" s="8">
        <f>IF(N256="zákl. přenesená",J256,0)</f>
        <v>0</v>
      </c>
      <c r="BH256" s="8">
        <f>IF(N256="sníž. přenesená",J256,0)</f>
        <v>0</v>
      </c>
      <c r="BI256" s="8">
        <f>IF(N256="nulová",J256,0)</f>
        <v>0</v>
      </c>
      <c r="BJ256" s="7" t="s">
        <v>2</v>
      </c>
      <c r="BK256" s="8">
        <f>ROUND(I256*H256,2)</f>
        <v>0</v>
      </c>
      <c r="BL256" s="7" t="s">
        <v>328</v>
      </c>
      <c r="BM256" s="6" t="s">
        <v>2457</v>
      </c>
    </row>
    <row r="257" spans="2:65" s="2" customFormat="1">
      <c r="B257" s="3"/>
      <c r="D257" s="107" t="s">
        <v>651</v>
      </c>
      <c r="F257" s="106" t="s">
        <v>2456</v>
      </c>
      <c r="I257" s="94"/>
      <c r="L257" s="3"/>
      <c r="M257" s="100"/>
      <c r="T257" s="99"/>
      <c r="AT257" s="7" t="s">
        <v>651</v>
      </c>
      <c r="AU257" s="7" t="s">
        <v>365</v>
      </c>
    </row>
    <row r="258" spans="2:65" s="2" customFormat="1" ht="48.75">
      <c r="B258" s="3"/>
      <c r="D258" s="96" t="s">
        <v>731</v>
      </c>
      <c r="F258" s="95" t="s">
        <v>2073</v>
      </c>
      <c r="I258" s="94"/>
      <c r="L258" s="3"/>
      <c r="M258" s="100"/>
      <c r="T258" s="99"/>
      <c r="AT258" s="7" t="s">
        <v>731</v>
      </c>
      <c r="AU258" s="7" t="s">
        <v>365</v>
      </c>
    </row>
    <row r="259" spans="2:65" s="269" customFormat="1">
      <c r="B259" s="273"/>
      <c r="D259" s="96" t="s">
        <v>704</v>
      </c>
      <c r="E259" s="270" t="s">
        <v>6</v>
      </c>
      <c r="F259" s="275" t="s">
        <v>2442</v>
      </c>
      <c r="H259" s="270" t="s">
        <v>6</v>
      </c>
      <c r="I259" s="274"/>
      <c r="L259" s="273"/>
      <c r="M259" s="272"/>
      <c r="T259" s="271"/>
      <c r="AT259" s="270" t="s">
        <v>704</v>
      </c>
      <c r="AU259" s="270" t="s">
        <v>365</v>
      </c>
      <c r="AV259" s="269" t="s">
        <v>2</v>
      </c>
      <c r="AW259" s="269" t="s">
        <v>703</v>
      </c>
      <c r="AX259" s="269" t="s">
        <v>25</v>
      </c>
      <c r="AY259" s="270" t="s">
        <v>3</v>
      </c>
    </row>
    <row r="260" spans="2:65" s="269" customFormat="1">
      <c r="B260" s="273"/>
      <c r="D260" s="96" t="s">
        <v>704</v>
      </c>
      <c r="E260" s="270" t="s">
        <v>6</v>
      </c>
      <c r="F260" s="275" t="s">
        <v>2441</v>
      </c>
      <c r="H260" s="270" t="s">
        <v>6</v>
      </c>
      <c r="I260" s="274"/>
      <c r="L260" s="273"/>
      <c r="M260" s="272"/>
      <c r="T260" s="271"/>
      <c r="AT260" s="270" t="s">
        <v>704</v>
      </c>
      <c r="AU260" s="270" t="s">
        <v>365</v>
      </c>
      <c r="AV260" s="269" t="s">
        <v>2</v>
      </c>
      <c r="AW260" s="269" t="s">
        <v>703</v>
      </c>
      <c r="AX260" s="269" t="s">
        <v>25</v>
      </c>
      <c r="AY260" s="270" t="s">
        <v>3</v>
      </c>
    </row>
    <row r="261" spans="2:65" s="108" customFormat="1">
      <c r="B261" s="112"/>
      <c r="D261" s="96" t="s">
        <v>704</v>
      </c>
      <c r="E261" s="109" t="s">
        <v>6</v>
      </c>
      <c r="F261" s="115" t="s">
        <v>2455</v>
      </c>
      <c r="H261" s="114">
        <v>4.2</v>
      </c>
      <c r="I261" s="113"/>
      <c r="L261" s="112"/>
      <c r="M261" s="111"/>
      <c r="T261" s="110"/>
      <c r="AT261" s="109" t="s">
        <v>704</v>
      </c>
      <c r="AU261" s="109" t="s">
        <v>365</v>
      </c>
      <c r="AV261" s="108" t="s">
        <v>365</v>
      </c>
      <c r="AW261" s="108" t="s">
        <v>703</v>
      </c>
      <c r="AX261" s="108" t="s">
        <v>2</v>
      </c>
      <c r="AY261" s="109" t="s">
        <v>3</v>
      </c>
    </row>
    <row r="262" spans="2:65" s="2" customFormat="1" ht="21.75" customHeight="1">
      <c r="B262" s="3"/>
      <c r="C262" s="20" t="s">
        <v>179</v>
      </c>
      <c r="D262" s="20" t="s">
        <v>4</v>
      </c>
      <c r="E262" s="19" t="s">
        <v>2454</v>
      </c>
      <c r="F262" s="14" t="s">
        <v>2453</v>
      </c>
      <c r="G262" s="18" t="s">
        <v>21</v>
      </c>
      <c r="H262" s="17">
        <v>3.7</v>
      </c>
      <c r="I262" s="16"/>
      <c r="J262" s="15">
        <f>ROUND(I262*H262,2)</f>
        <v>0</v>
      </c>
      <c r="K262" s="14" t="s">
        <v>654</v>
      </c>
      <c r="L262" s="3"/>
      <c r="M262" s="24" t="s">
        <v>6</v>
      </c>
      <c r="N262" s="23" t="s">
        <v>5</v>
      </c>
      <c r="P262" s="22">
        <f>O262*H262</f>
        <v>0</v>
      </c>
      <c r="Q262" s="22">
        <v>6.8589999999999998E-2</v>
      </c>
      <c r="R262" s="22">
        <f>Q262*H262</f>
        <v>0.25378299999999998</v>
      </c>
      <c r="S262" s="22">
        <v>0</v>
      </c>
      <c r="T262" s="21">
        <f>S262*H262</f>
        <v>0</v>
      </c>
      <c r="AR262" s="6" t="s">
        <v>328</v>
      </c>
      <c r="AT262" s="6" t="s">
        <v>4</v>
      </c>
      <c r="AU262" s="6" t="s">
        <v>365</v>
      </c>
      <c r="AY262" s="7" t="s">
        <v>3</v>
      </c>
      <c r="BE262" s="8">
        <f>IF(N262="základní",J262,0)</f>
        <v>0</v>
      </c>
      <c r="BF262" s="8">
        <f>IF(N262="snížená",J262,0)</f>
        <v>0</v>
      </c>
      <c r="BG262" s="8">
        <f>IF(N262="zákl. přenesená",J262,0)</f>
        <v>0</v>
      </c>
      <c r="BH262" s="8">
        <f>IF(N262="sníž. přenesená",J262,0)</f>
        <v>0</v>
      </c>
      <c r="BI262" s="8">
        <f>IF(N262="nulová",J262,0)</f>
        <v>0</v>
      </c>
      <c r="BJ262" s="7" t="s">
        <v>2</v>
      </c>
      <c r="BK262" s="8">
        <f>ROUND(I262*H262,2)</f>
        <v>0</v>
      </c>
      <c r="BL262" s="7" t="s">
        <v>328</v>
      </c>
      <c r="BM262" s="6" t="s">
        <v>2452</v>
      </c>
    </row>
    <row r="263" spans="2:65" s="2" customFormat="1">
      <c r="B263" s="3"/>
      <c r="D263" s="107" t="s">
        <v>651</v>
      </c>
      <c r="F263" s="106" t="s">
        <v>2451</v>
      </c>
      <c r="I263" s="94"/>
      <c r="L263" s="3"/>
      <c r="M263" s="100"/>
      <c r="T263" s="99"/>
      <c r="AT263" s="7" t="s">
        <v>651</v>
      </c>
      <c r="AU263" s="7" t="s">
        <v>365</v>
      </c>
    </row>
    <row r="264" spans="2:65" s="2" customFormat="1" ht="48.75">
      <c r="B264" s="3"/>
      <c r="D264" s="96" t="s">
        <v>731</v>
      </c>
      <c r="F264" s="95" t="s">
        <v>2073</v>
      </c>
      <c r="I264" s="94"/>
      <c r="L264" s="3"/>
      <c r="M264" s="100"/>
      <c r="T264" s="99"/>
      <c r="AT264" s="7" t="s">
        <v>731</v>
      </c>
      <c r="AU264" s="7" t="s">
        <v>365</v>
      </c>
    </row>
    <row r="265" spans="2:65" s="269" customFormat="1">
      <c r="B265" s="273"/>
      <c r="D265" s="96" t="s">
        <v>704</v>
      </c>
      <c r="E265" s="270" t="s">
        <v>6</v>
      </c>
      <c r="F265" s="275" t="s">
        <v>2442</v>
      </c>
      <c r="H265" s="270" t="s">
        <v>6</v>
      </c>
      <c r="I265" s="274"/>
      <c r="L265" s="273"/>
      <c r="M265" s="272"/>
      <c r="T265" s="271"/>
      <c r="AT265" s="270" t="s">
        <v>704</v>
      </c>
      <c r="AU265" s="270" t="s">
        <v>365</v>
      </c>
      <c r="AV265" s="269" t="s">
        <v>2</v>
      </c>
      <c r="AW265" s="269" t="s">
        <v>703</v>
      </c>
      <c r="AX265" s="269" t="s">
        <v>25</v>
      </c>
      <c r="AY265" s="270" t="s">
        <v>3</v>
      </c>
    </row>
    <row r="266" spans="2:65" s="269" customFormat="1">
      <c r="B266" s="273"/>
      <c r="D266" s="96" t="s">
        <v>704</v>
      </c>
      <c r="E266" s="270" t="s">
        <v>6</v>
      </c>
      <c r="F266" s="275" t="s">
        <v>2441</v>
      </c>
      <c r="H266" s="270" t="s">
        <v>6</v>
      </c>
      <c r="I266" s="274"/>
      <c r="L266" s="273"/>
      <c r="M266" s="272"/>
      <c r="T266" s="271"/>
      <c r="AT266" s="270" t="s">
        <v>704</v>
      </c>
      <c r="AU266" s="270" t="s">
        <v>365</v>
      </c>
      <c r="AV266" s="269" t="s">
        <v>2</v>
      </c>
      <c r="AW266" s="269" t="s">
        <v>703</v>
      </c>
      <c r="AX266" s="269" t="s">
        <v>25</v>
      </c>
      <c r="AY266" s="270" t="s">
        <v>3</v>
      </c>
    </row>
    <row r="267" spans="2:65" s="108" customFormat="1">
      <c r="B267" s="112"/>
      <c r="D267" s="96" t="s">
        <v>704</v>
      </c>
      <c r="E267" s="109" t="s">
        <v>6</v>
      </c>
      <c r="F267" s="115" t="s">
        <v>2450</v>
      </c>
      <c r="H267" s="114">
        <v>3.7</v>
      </c>
      <c r="I267" s="113"/>
      <c r="L267" s="112"/>
      <c r="M267" s="111"/>
      <c r="T267" s="110"/>
      <c r="AT267" s="109" t="s">
        <v>704</v>
      </c>
      <c r="AU267" s="109" t="s">
        <v>365</v>
      </c>
      <c r="AV267" s="108" t="s">
        <v>365</v>
      </c>
      <c r="AW267" s="108" t="s">
        <v>703</v>
      </c>
      <c r="AX267" s="108" t="s">
        <v>2</v>
      </c>
      <c r="AY267" s="109" t="s">
        <v>3</v>
      </c>
    </row>
    <row r="268" spans="2:65" s="2" customFormat="1" ht="24.2" customHeight="1">
      <c r="B268" s="3"/>
      <c r="C268" s="20" t="s">
        <v>176</v>
      </c>
      <c r="D268" s="20" t="s">
        <v>4</v>
      </c>
      <c r="E268" s="19" t="s">
        <v>2449</v>
      </c>
      <c r="F268" s="14" t="s">
        <v>2448</v>
      </c>
      <c r="G268" s="18" t="s">
        <v>722</v>
      </c>
      <c r="H268" s="17">
        <v>1</v>
      </c>
      <c r="I268" s="16"/>
      <c r="J268" s="15">
        <f>ROUND(I268*H268,2)</f>
        <v>0</v>
      </c>
      <c r="K268" s="14" t="s">
        <v>7</v>
      </c>
      <c r="L268" s="3"/>
      <c r="M268" s="24" t="s">
        <v>6</v>
      </c>
      <c r="N268" s="23" t="s">
        <v>5</v>
      </c>
      <c r="P268" s="22">
        <f>O268*H268</f>
        <v>0</v>
      </c>
      <c r="Q268" s="22">
        <v>1E-4</v>
      </c>
      <c r="R268" s="22">
        <f>Q268*H268</f>
        <v>1E-4</v>
      </c>
      <c r="S268" s="22">
        <v>0</v>
      </c>
      <c r="T268" s="21">
        <f>S268*H268</f>
        <v>0</v>
      </c>
      <c r="AR268" s="6" t="s">
        <v>328</v>
      </c>
      <c r="AT268" s="6" t="s">
        <v>4</v>
      </c>
      <c r="AU268" s="6" t="s">
        <v>365</v>
      </c>
      <c r="AY268" s="7" t="s">
        <v>3</v>
      </c>
      <c r="BE268" s="8">
        <f>IF(N268="základní",J268,0)</f>
        <v>0</v>
      </c>
      <c r="BF268" s="8">
        <f>IF(N268="snížená",J268,0)</f>
        <v>0</v>
      </c>
      <c r="BG268" s="8">
        <f>IF(N268="zákl. přenesená",J268,0)</f>
        <v>0</v>
      </c>
      <c r="BH268" s="8">
        <f>IF(N268="sníž. přenesená",J268,0)</f>
        <v>0</v>
      </c>
      <c r="BI268" s="8">
        <f>IF(N268="nulová",J268,0)</f>
        <v>0</v>
      </c>
      <c r="BJ268" s="7" t="s">
        <v>2</v>
      </c>
      <c r="BK268" s="8">
        <f>ROUND(I268*H268,2)</f>
        <v>0</v>
      </c>
      <c r="BL268" s="7" t="s">
        <v>328</v>
      </c>
      <c r="BM268" s="6" t="s">
        <v>2447</v>
      </c>
    </row>
    <row r="269" spans="2:65" s="2" customFormat="1" ht="48.75">
      <c r="B269" s="3"/>
      <c r="D269" s="96" t="s">
        <v>731</v>
      </c>
      <c r="F269" s="95" t="s">
        <v>2073</v>
      </c>
      <c r="I269" s="94"/>
      <c r="L269" s="3"/>
      <c r="M269" s="100"/>
      <c r="T269" s="99"/>
      <c r="AT269" s="7" t="s">
        <v>731</v>
      </c>
      <c r="AU269" s="7" t="s">
        <v>365</v>
      </c>
    </row>
    <row r="270" spans="2:65" s="269" customFormat="1">
      <c r="B270" s="273"/>
      <c r="D270" s="96" t="s">
        <v>704</v>
      </c>
      <c r="E270" s="270" t="s">
        <v>6</v>
      </c>
      <c r="F270" s="275" t="s">
        <v>2442</v>
      </c>
      <c r="H270" s="270" t="s">
        <v>6</v>
      </c>
      <c r="I270" s="274"/>
      <c r="L270" s="273"/>
      <c r="M270" s="272"/>
      <c r="T270" s="271"/>
      <c r="AT270" s="270" t="s">
        <v>704</v>
      </c>
      <c r="AU270" s="270" t="s">
        <v>365</v>
      </c>
      <c r="AV270" s="269" t="s">
        <v>2</v>
      </c>
      <c r="AW270" s="269" t="s">
        <v>703</v>
      </c>
      <c r="AX270" s="269" t="s">
        <v>25</v>
      </c>
      <c r="AY270" s="270" t="s">
        <v>3</v>
      </c>
    </row>
    <row r="271" spans="2:65" s="269" customFormat="1">
      <c r="B271" s="273"/>
      <c r="D271" s="96" t="s">
        <v>704</v>
      </c>
      <c r="E271" s="270" t="s">
        <v>6</v>
      </c>
      <c r="F271" s="275" t="s">
        <v>2441</v>
      </c>
      <c r="H271" s="270" t="s">
        <v>6</v>
      </c>
      <c r="I271" s="274"/>
      <c r="L271" s="273"/>
      <c r="M271" s="272"/>
      <c r="T271" s="271"/>
      <c r="AT271" s="270" t="s">
        <v>704</v>
      </c>
      <c r="AU271" s="270" t="s">
        <v>365</v>
      </c>
      <c r="AV271" s="269" t="s">
        <v>2</v>
      </c>
      <c r="AW271" s="269" t="s">
        <v>703</v>
      </c>
      <c r="AX271" s="269" t="s">
        <v>25</v>
      </c>
      <c r="AY271" s="270" t="s">
        <v>3</v>
      </c>
    </row>
    <row r="272" spans="2:65" s="108" customFormat="1">
      <c r="B272" s="112"/>
      <c r="D272" s="96" t="s">
        <v>704</v>
      </c>
      <c r="E272" s="109" t="s">
        <v>6</v>
      </c>
      <c r="F272" s="115" t="s">
        <v>2</v>
      </c>
      <c r="H272" s="114">
        <v>1</v>
      </c>
      <c r="I272" s="113"/>
      <c r="L272" s="112"/>
      <c r="M272" s="111"/>
      <c r="T272" s="110"/>
      <c r="AT272" s="109" t="s">
        <v>704</v>
      </c>
      <c r="AU272" s="109" t="s">
        <v>365</v>
      </c>
      <c r="AV272" s="108" t="s">
        <v>365</v>
      </c>
      <c r="AW272" s="108" t="s">
        <v>703</v>
      </c>
      <c r="AX272" s="108" t="s">
        <v>2</v>
      </c>
      <c r="AY272" s="109" t="s">
        <v>3</v>
      </c>
    </row>
    <row r="273" spans="2:65" s="2" customFormat="1" ht="24.2" customHeight="1">
      <c r="B273" s="3"/>
      <c r="C273" s="20" t="s">
        <v>173</v>
      </c>
      <c r="D273" s="20" t="s">
        <v>4</v>
      </c>
      <c r="E273" s="19" t="s">
        <v>2446</v>
      </c>
      <c r="F273" s="14" t="s">
        <v>2445</v>
      </c>
      <c r="G273" s="18" t="s">
        <v>722</v>
      </c>
      <c r="H273" s="17">
        <v>2</v>
      </c>
      <c r="I273" s="16"/>
      <c r="J273" s="15">
        <f>ROUND(I273*H273,2)</f>
        <v>0</v>
      </c>
      <c r="K273" s="14" t="s">
        <v>7</v>
      </c>
      <c r="L273" s="3"/>
      <c r="M273" s="24" t="s">
        <v>6</v>
      </c>
      <c r="N273" s="23" t="s">
        <v>5</v>
      </c>
      <c r="P273" s="22">
        <f>O273*H273</f>
        <v>0</v>
      </c>
      <c r="Q273" s="22">
        <v>1E-4</v>
      </c>
      <c r="R273" s="22">
        <f>Q273*H273</f>
        <v>2.0000000000000001E-4</v>
      </c>
      <c r="S273" s="22">
        <v>0</v>
      </c>
      <c r="T273" s="21">
        <f>S273*H273</f>
        <v>0</v>
      </c>
      <c r="AR273" s="6" t="s">
        <v>328</v>
      </c>
      <c r="AT273" s="6" t="s">
        <v>4</v>
      </c>
      <c r="AU273" s="6" t="s">
        <v>365</v>
      </c>
      <c r="AY273" s="7" t="s">
        <v>3</v>
      </c>
      <c r="BE273" s="8">
        <f>IF(N273="základní",J273,0)</f>
        <v>0</v>
      </c>
      <c r="BF273" s="8">
        <f>IF(N273="snížená",J273,0)</f>
        <v>0</v>
      </c>
      <c r="BG273" s="8">
        <f>IF(N273="zákl. přenesená",J273,0)</f>
        <v>0</v>
      </c>
      <c r="BH273" s="8">
        <f>IF(N273="sníž. přenesená",J273,0)</f>
        <v>0</v>
      </c>
      <c r="BI273" s="8">
        <f>IF(N273="nulová",J273,0)</f>
        <v>0</v>
      </c>
      <c r="BJ273" s="7" t="s">
        <v>2</v>
      </c>
      <c r="BK273" s="8">
        <f>ROUND(I273*H273,2)</f>
        <v>0</v>
      </c>
      <c r="BL273" s="7" t="s">
        <v>328</v>
      </c>
      <c r="BM273" s="6" t="s">
        <v>2444</v>
      </c>
    </row>
    <row r="274" spans="2:65" s="2" customFormat="1" ht="48.75">
      <c r="B274" s="3"/>
      <c r="D274" s="96" t="s">
        <v>731</v>
      </c>
      <c r="F274" s="95" t="s">
        <v>2073</v>
      </c>
      <c r="I274" s="94"/>
      <c r="L274" s="3"/>
      <c r="M274" s="100"/>
      <c r="T274" s="99"/>
      <c r="AT274" s="7" t="s">
        <v>731</v>
      </c>
      <c r="AU274" s="7" t="s">
        <v>365</v>
      </c>
    </row>
    <row r="275" spans="2:65" s="269" customFormat="1">
      <c r="B275" s="273"/>
      <c r="D275" s="96" t="s">
        <v>704</v>
      </c>
      <c r="E275" s="270" t="s">
        <v>6</v>
      </c>
      <c r="F275" s="275" t="s">
        <v>2442</v>
      </c>
      <c r="H275" s="270" t="s">
        <v>6</v>
      </c>
      <c r="I275" s="274"/>
      <c r="L275" s="273"/>
      <c r="M275" s="272"/>
      <c r="T275" s="271"/>
      <c r="AT275" s="270" t="s">
        <v>704</v>
      </c>
      <c r="AU275" s="270" t="s">
        <v>365</v>
      </c>
      <c r="AV275" s="269" t="s">
        <v>2</v>
      </c>
      <c r="AW275" s="269" t="s">
        <v>703</v>
      </c>
      <c r="AX275" s="269" t="s">
        <v>25</v>
      </c>
      <c r="AY275" s="270" t="s">
        <v>3</v>
      </c>
    </row>
    <row r="276" spans="2:65" s="269" customFormat="1">
      <c r="B276" s="273"/>
      <c r="D276" s="96" t="s">
        <v>704</v>
      </c>
      <c r="E276" s="270" t="s">
        <v>6</v>
      </c>
      <c r="F276" s="275" t="s">
        <v>2441</v>
      </c>
      <c r="H276" s="270" t="s">
        <v>6</v>
      </c>
      <c r="I276" s="274"/>
      <c r="L276" s="273"/>
      <c r="M276" s="272"/>
      <c r="T276" s="271"/>
      <c r="AT276" s="270" t="s">
        <v>704</v>
      </c>
      <c r="AU276" s="270" t="s">
        <v>365</v>
      </c>
      <c r="AV276" s="269" t="s">
        <v>2</v>
      </c>
      <c r="AW276" s="269" t="s">
        <v>703</v>
      </c>
      <c r="AX276" s="269" t="s">
        <v>25</v>
      </c>
      <c r="AY276" s="270" t="s">
        <v>3</v>
      </c>
    </row>
    <row r="277" spans="2:65" s="108" customFormat="1">
      <c r="B277" s="112"/>
      <c r="D277" s="96" t="s">
        <v>704</v>
      </c>
      <c r="E277" s="109" t="s">
        <v>6</v>
      </c>
      <c r="F277" s="115" t="s">
        <v>365</v>
      </c>
      <c r="H277" s="114">
        <v>2</v>
      </c>
      <c r="I277" s="113"/>
      <c r="L277" s="112"/>
      <c r="M277" s="111"/>
      <c r="T277" s="110"/>
      <c r="AT277" s="109" t="s">
        <v>704</v>
      </c>
      <c r="AU277" s="109" t="s">
        <v>365</v>
      </c>
      <c r="AV277" s="108" t="s">
        <v>365</v>
      </c>
      <c r="AW277" s="108" t="s">
        <v>703</v>
      </c>
      <c r="AX277" s="108" t="s">
        <v>2</v>
      </c>
      <c r="AY277" s="109" t="s">
        <v>3</v>
      </c>
    </row>
    <row r="278" spans="2:65" s="2" customFormat="1" ht="24.2" customHeight="1">
      <c r="B278" s="3"/>
      <c r="C278" s="20" t="s">
        <v>169</v>
      </c>
      <c r="D278" s="20" t="s">
        <v>4</v>
      </c>
      <c r="E278" s="19" t="s">
        <v>2260</v>
      </c>
      <c r="F278" s="14" t="s">
        <v>2259</v>
      </c>
      <c r="G278" s="18" t="s">
        <v>21</v>
      </c>
      <c r="H278" s="17">
        <v>11</v>
      </c>
      <c r="I278" s="16"/>
      <c r="J278" s="15">
        <f>ROUND(I278*H278,2)</f>
        <v>0</v>
      </c>
      <c r="K278" s="14" t="s">
        <v>654</v>
      </c>
      <c r="L278" s="3"/>
      <c r="M278" s="24" t="s">
        <v>6</v>
      </c>
      <c r="N278" s="23" t="s">
        <v>5</v>
      </c>
      <c r="P278" s="22">
        <f>O278*H278</f>
        <v>0</v>
      </c>
      <c r="Q278" s="22">
        <v>3.4399999999999999E-3</v>
      </c>
      <c r="R278" s="22">
        <f>Q278*H278</f>
        <v>3.7839999999999999E-2</v>
      </c>
      <c r="S278" s="22">
        <v>0</v>
      </c>
      <c r="T278" s="21">
        <f>S278*H278</f>
        <v>0</v>
      </c>
      <c r="AR278" s="6" t="s">
        <v>328</v>
      </c>
      <c r="AT278" s="6" t="s">
        <v>4</v>
      </c>
      <c r="AU278" s="6" t="s">
        <v>365</v>
      </c>
      <c r="AY278" s="7" t="s">
        <v>3</v>
      </c>
      <c r="BE278" s="8">
        <f>IF(N278="základní",J278,0)</f>
        <v>0</v>
      </c>
      <c r="BF278" s="8">
        <f>IF(N278="snížená",J278,0)</f>
        <v>0</v>
      </c>
      <c r="BG278" s="8">
        <f>IF(N278="zákl. přenesená",J278,0)</f>
        <v>0</v>
      </c>
      <c r="BH278" s="8">
        <f>IF(N278="sníž. přenesená",J278,0)</f>
        <v>0</v>
      </c>
      <c r="BI278" s="8">
        <f>IF(N278="nulová",J278,0)</f>
        <v>0</v>
      </c>
      <c r="BJ278" s="7" t="s">
        <v>2</v>
      </c>
      <c r="BK278" s="8">
        <f>ROUND(I278*H278,2)</f>
        <v>0</v>
      </c>
      <c r="BL278" s="7" t="s">
        <v>328</v>
      </c>
      <c r="BM278" s="6" t="s">
        <v>2443</v>
      </c>
    </row>
    <row r="279" spans="2:65" s="2" customFormat="1">
      <c r="B279" s="3"/>
      <c r="D279" s="107" t="s">
        <v>651</v>
      </c>
      <c r="F279" s="106" t="s">
        <v>2257</v>
      </c>
      <c r="I279" s="94"/>
      <c r="L279" s="3"/>
      <c r="M279" s="100"/>
      <c r="T279" s="99"/>
      <c r="AT279" s="7" t="s">
        <v>651</v>
      </c>
      <c r="AU279" s="7" t="s">
        <v>365</v>
      </c>
    </row>
    <row r="280" spans="2:65" s="2" customFormat="1" ht="48.75">
      <c r="B280" s="3"/>
      <c r="D280" s="96" t="s">
        <v>731</v>
      </c>
      <c r="F280" s="95" t="s">
        <v>2073</v>
      </c>
      <c r="I280" s="94"/>
      <c r="L280" s="3"/>
      <c r="M280" s="100"/>
      <c r="T280" s="99"/>
      <c r="AT280" s="7" t="s">
        <v>731</v>
      </c>
      <c r="AU280" s="7" t="s">
        <v>365</v>
      </c>
    </row>
    <row r="281" spans="2:65" s="269" customFormat="1">
      <c r="B281" s="273"/>
      <c r="D281" s="96" t="s">
        <v>704</v>
      </c>
      <c r="E281" s="270" t="s">
        <v>6</v>
      </c>
      <c r="F281" s="275" t="s">
        <v>2442</v>
      </c>
      <c r="H281" s="270" t="s">
        <v>6</v>
      </c>
      <c r="I281" s="274"/>
      <c r="L281" s="273"/>
      <c r="M281" s="272"/>
      <c r="T281" s="271"/>
      <c r="AT281" s="270" t="s">
        <v>704</v>
      </c>
      <c r="AU281" s="270" t="s">
        <v>365</v>
      </c>
      <c r="AV281" s="269" t="s">
        <v>2</v>
      </c>
      <c r="AW281" s="269" t="s">
        <v>703</v>
      </c>
      <c r="AX281" s="269" t="s">
        <v>25</v>
      </c>
      <c r="AY281" s="270" t="s">
        <v>3</v>
      </c>
    </row>
    <row r="282" spans="2:65" s="269" customFormat="1">
      <c r="B282" s="273"/>
      <c r="D282" s="96" t="s">
        <v>704</v>
      </c>
      <c r="E282" s="270" t="s">
        <v>6</v>
      </c>
      <c r="F282" s="275" t="s">
        <v>2441</v>
      </c>
      <c r="H282" s="270" t="s">
        <v>6</v>
      </c>
      <c r="I282" s="274"/>
      <c r="L282" s="273"/>
      <c r="M282" s="272"/>
      <c r="T282" s="271"/>
      <c r="AT282" s="270" t="s">
        <v>704</v>
      </c>
      <c r="AU282" s="270" t="s">
        <v>365</v>
      </c>
      <c r="AV282" s="269" t="s">
        <v>2</v>
      </c>
      <c r="AW282" s="269" t="s">
        <v>703</v>
      </c>
      <c r="AX282" s="269" t="s">
        <v>25</v>
      </c>
      <c r="AY282" s="270" t="s">
        <v>3</v>
      </c>
    </row>
    <row r="283" spans="2:65" s="108" customFormat="1">
      <c r="B283" s="112"/>
      <c r="D283" s="96" t="s">
        <v>704</v>
      </c>
      <c r="E283" s="109" t="s">
        <v>6</v>
      </c>
      <c r="F283" s="115" t="s">
        <v>2440</v>
      </c>
      <c r="H283" s="114">
        <v>11</v>
      </c>
      <c r="I283" s="113"/>
      <c r="L283" s="112"/>
      <c r="M283" s="111"/>
      <c r="T283" s="110"/>
      <c r="AT283" s="109" t="s">
        <v>704</v>
      </c>
      <c r="AU283" s="109" t="s">
        <v>365</v>
      </c>
      <c r="AV283" s="108" t="s">
        <v>365</v>
      </c>
      <c r="AW283" s="108" t="s">
        <v>703</v>
      </c>
      <c r="AX283" s="108" t="s">
        <v>2</v>
      </c>
      <c r="AY283" s="109" t="s">
        <v>3</v>
      </c>
    </row>
    <row r="284" spans="2:65" s="2" customFormat="1" ht="16.5" customHeight="1">
      <c r="B284" s="3"/>
      <c r="C284" s="20" t="s">
        <v>166</v>
      </c>
      <c r="D284" s="20" t="s">
        <v>4</v>
      </c>
      <c r="E284" s="19" t="s">
        <v>2439</v>
      </c>
      <c r="F284" s="14" t="s">
        <v>2438</v>
      </c>
      <c r="G284" s="18" t="s">
        <v>714</v>
      </c>
      <c r="H284" s="17">
        <v>1</v>
      </c>
      <c r="I284" s="16"/>
      <c r="J284" s="15">
        <f>ROUND(I284*H284,2)</f>
        <v>0</v>
      </c>
      <c r="K284" s="14" t="s">
        <v>7</v>
      </c>
      <c r="L284" s="3"/>
      <c r="M284" s="24" t="s">
        <v>6</v>
      </c>
      <c r="N284" s="23" t="s">
        <v>5</v>
      </c>
      <c r="P284" s="22">
        <f>O284*H284</f>
        <v>0</v>
      </c>
      <c r="Q284" s="22">
        <v>0</v>
      </c>
      <c r="R284" s="22">
        <f>Q284*H284</f>
        <v>0</v>
      </c>
      <c r="S284" s="22">
        <v>0</v>
      </c>
      <c r="T284" s="21">
        <f>S284*H284</f>
        <v>0</v>
      </c>
      <c r="AR284" s="6" t="s">
        <v>328</v>
      </c>
      <c r="AT284" s="6" t="s">
        <v>4</v>
      </c>
      <c r="AU284" s="6" t="s">
        <v>365</v>
      </c>
      <c r="AY284" s="7" t="s">
        <v>3</v>
      </c>
      <c r="BE284" s="8">
        <f>IF(N284="základní",J284,0)</f>
        <v>0</v>
      </c>
      <c r="BF284" s="8">
        <f>IF(N284="snížená",J284,0)</f>
        <v>0</v>
      </c>
      <c r="BG284" s="8">
        <f>IF(N284="zákl. přenesená",J284,0)</f>
        <v>0</v>
      </c>
      <c r="BH284" s="8">
        <f>IF(N284="sníž. přenesená",J284,0)</f>
        <v>0</v>
      </c>
      <c r="BI284" s="8">
        <f>IF(N284="nulová",J284,0)</f>
        <v>0</v>
      </c>
      <c r="BJ284" s="7" t="s">
        <v>2</v>
      </c>
      <c r="BK284" s="8">
        <f>ROUND(I284*H284,2)</f>
        <v>0</v>
      </c>
      <c r="BL284" s="7" t="s">
        <v>328</v>
      </c>
      <c r="BM284" s="6" t="s">
        <v>2437</v>
      </c>
    </row>
    <row r="285" spans="2:65" s="2" customFormat="1" ht="16.5" customHeight="1">
      <c r="B285" s="3"/>
      <c r="C285" s="20" t="s">
        <v>163</v>
      </c>
      <c r="D285" s="20" t="s">
        <v>4</v>
      </c>
      <c r="E285" s="19" t="s">
        <v>2436</v>
      </c>
      <c r="F285" s="14" t="s">
        <v>2435</v>
      </c>
      <c r="G285" s="18" t="s">
        <v>1075</v>
      </c>
      <c r="H285" s="17">
        <v>8</v>
      </c>
      <c r="I285" s="16"/>
      <c r="J285" s="15">
        <f>ROUND(I285*H285,2)</f>
        <v>0</v>
      </c>
      <c r="K285" s="14" t="s">
        <v>7</v>
      </c>
      <c r="L285" s="3"/>
      <c r="M285" s="24" t="s">
        <v>6</v>
      </c>
      <c r="N285" s="23" t="s">
        <v>5</v>
      </c>
      <c r="P285" s="22">
        <f>O285*H285</f>
        <v>0</v>
      </c>
      <c r="Q285" s="22">
        <v>0</v>
      </c>
      <c r="R285" s="22">
        <f>Q285*H285</f>
        <v>0</v>
      </c>
      <c r="S285" s="22">
        <v>0</v>
      </c>
      <c r="T285" s="21">
        <f>S285*H285</f>
        <v>0</v>
      </c>
      <c r="AR285" s="6" t="s">
        <v>328</v>
      </c>
      <c r="AT285" s="6" t="s">
        <v>4</v>
      </c>
      <c r="AU285" s="6" t="s">
        <v>365</v>
      </c>
      <c r="AY285" s="7" t="s">
        <v>3</v>
      </c>
      <c r="BE285" s="8">
        <f>IF(N285="základní",J285,0)</f>
        <v>0</v>
      </c>
      <c r="BF285" s="8">
        <f>IF(N285="snížená",J285,0)</f>
        <v>0</v>
      </c>
      <c r="BG285" s="8">
        <f>IF(N285="zákl. přenesená",J285,0)</f>
        <v>0</v>
      </c>
      <c r="BH285" s="8">
        <f>IF(N285="sníž. přenesená",J285,0)</f>
        <v>0</v>
      </c>
      <c r="BI285" s="8">
        <f>IF(N285="nulová",J285,0)</f>
        <v>0</v>
      </c>
      <c r="BJ285" s="7" t="s">
        <v>2</v>
      </c>
      <c r="BK285" s="8">
        <f>ROUND(I285*H285,2)</f>
        <v>0</v>
      </c>
      <c r="BL285" s="7" t="s">
        <v>328</v>
      </c>
      <c r="BM285" s="6" t="s">
        <v>2434</v>
      </c>
    </row>
    <row r="286" spans="2:65" s="2" customFormat="1" ht="44.25" customHeight="1">
      <c r="B286" s="3"/>
      <c r="C286" s="20" t="s">
        <v>159</v>
      </c>
      <c r="D286" s="20" t="s">
        <v>4</v>
      </c>
      <c r="E286" s="19" t="s">
        <v>2433</v>
      </c>
      <c r="F286" s="14" t="s">
        <v>2432</v>
      </c>
      <c r="G286" s="18" t="s">
        <v>21</v>
      </c>
      <c r="H286" s="17">
        <v>14</v>
      </c>
      <c r="I286" s="16"/>
      <c r="J286" s="15">
        <f>ROUND(I286*H286,2)</f>
        <v>0</v>
      </c>
      <c r="K286" s="14" t="s">
        <v>7</v>
      </c>
      <c r="L286" s="3"/>
      <c r="M286" s="24" t="s">
        <v>6</v>
      </c>
      <c r="N286" s="23" t="s">
        <v>5</v>
      </c>
      <c r="P286" s="22">
        <f>O286*H286</f>
        <v>0</v>
      </c>
      <c r="Q286" s="22">
        <v>0</v>
      </c>
      <c r="R286" s="22">
        <f>Q286*H286</f>
        <v>0</v>
      </c>
      <c r="S286" s="22">
        <v>0</v>
      </c>
      <c r="T286" s="21">
        <f>S286*H286</f>
        <v>0</v>
      </c>
      <c r="AR286" s="6" t="s">
        <v>328</v>
      </c>
      <c r="AT286" s="6" t="s">
        <v>4</v>
      </c>
      <c r="AU286" s="6" t="s">
        <v>365</v>
      </c>
      <c r="AY286" s="7" t="s">
        <v>3</v>
      </c>
      <c r="BE286" s="8">
        <f>IF(N286="základní",J286,0)</f>
        <v>0</v>
      </c>
      <c r="BF286" s="8">
        <f>IF(N286="snížená",J286,0)</f>
        <v>0</v>
      </c>
      <c r="BG286" s="8">
        <f>IF(N286="zákl. přenesená",J286,0)</f>
        <v>0</v>
      </c>
      <c r="BH286" s="8">
        <f>IF(N286="sníž. přenesená",J286,0)</f>
        <v>0</v>
      </c>
      <c r="BI286" s="8">
        <f>IF(N286="nulová",J286,0)</f>
        <v>0</v>
      </c>
      <c r="BJ286" s="7" t="s">
        <v>2</v>
      </c>
      <c r="BK286" s="8">
        <f>ROUND(I286*H286,2)</f>
        <v>0</v>
      </c>
      <c r="BL286" s="7" t="s">
        <v>328</v>
      </c>
      <c r="BM286" s="6" t="s">
        <v>2431</v>
      </c>
    </row>
    <row r="287" spans="2:65" s="2" customFormat="1" ht="44.25" customHeight="1">
      <c r="B287" s="3"/>
      <c r="C287" s="20" t="s">
        <v>155</v>
      </c>
      <c r="D287" s="20" t="s">
        <v>4</v>
      </c>
      <c r="E287" s="19" t="s">
        <v>2430</v>
      </c>
      <c r="F287" s="14" t="s">
        <v>2429</v>
      </c>
      <c r="G287" s="18" t="s">
        <v>21</v>
      </c>
      <c r="H287" s="17">
        <v>25</v>
      </c>
      <c r="I287" s="16"/>
      <c r="J287" s="15">
        <f>ROUND(I287*H287,2)</f>
        <v>0</v>
      </c>
      <c r="K287" s="14" t="s">
        <v>7</v>
      </c>
      <c r="L287" s="3"/>
      <c r="M287" s="24" t="s">
        <v>6</v>
      </c>
      <c r="N287" s="23" t="s">
        <v>5</v>
      </c>
      <c r="P287" s="22">
        <f>O287*H287</f>
        <v>0</v>
      </c>
      <c r="Q287" s="22">
        <v>0</v>
      </c>
      <c r="R287" s="22">
        <f>Q287*H287</f>
        <v>0</v>
      </c>
      <c r="S287" s="22">
        <v>0</v>
      </c>
      <c r="T287" s="21">
        <f>S287*H287</f>
        <v>0</v>
      </c>
      <c r="AR287" s="6" t="s">
        <v>328</v>
      </c>
      <c r="AT287" s="6" t="s">
        <v>4</v>
      </c>
      <c r="AU287" s="6" t="s">
        <v>365</v>
      </c>
      <c r="AY287" s="7" t="s">
        <v>3</v>
      </c>
      <c r="BE287" s="8">
        <f>IF(N287="základní",J287,0)</f>
        <v>0</v>
      </c>
      <c r="BF287" s="8">
        <f>IF(N287="snížená",J287,0)</f>
        <v>0</v>
      </c>
      <c r="BG287" s="8">
        <f>IF(N287="zákl. přenesená",J287,0)</f>
        <v>0</v>
      </c>
      <c r="BH287" s="8">
        <f>IF(N287="sníž. přenesená",J287,0)</f>
        <v>0</v>
      </c>
      <c r="BI287" s="8">
        <f>IF(N287="nulová",J287,0)</f>
        <v>0</v>
      </c>
      <c r="BJ287" s="7" t="s">
        <v>2</v>
      </c>
      <c r="BK287" s="8">
        <f>ROUND(I287*H287,2)</f>
        <v>0</v>
      </c>
      <c r="BL287" s="7" t="s">
        <v>328</v>
      </c>
      <c r="BM287" s="6" t="s">
        <v>2428</v>
      </c>
    </row>
    <row r="288" spans="2:65" s="2" customFormat="1" ht="44.25" customHeight="1">
      <c r="B288" s="3"/>
      <c r="C288" s="20" t="s">
        <v>151</v>
      </c>
      <c r="D288" s="20" t="s">
        <v>4</v>
      </c>
      <c r="E288" s="19" t="s">
        <v>2427</v>
      </c>
      <c r="F288" s="14" t="s">
        <v>2426</v>
      </c>
      <c r="G288" s="18" t="s">
        <v>21</v>
      </c>
      <c r="H288" s="17">
        <v>7</v>
      </c>
      <c r="I288" s="16"/>
      <c r="J288" s="15">
        <f>ROUND(I288*H288,2)</f>
        <v>0</v>
      </c>
      <c r="K288" s="14" t="s">
        <v>7</v>
      </c>
      <c r="L288" s="3"/>
      <c r="M288" s="24" t="s">
        <v>6</v>
      </c>
      <c r="N288" s="23" t="s">
        <v>5</v>
      </c>
      <c r="P288" s="22">
        <f>O288*H288</f>
        <v>0</v>
      </c>
      <c r="Q288" s="22">
        <v>0</v>
      </c>
      <c r="R288" s="22">
        <f>Q288*H288</f>
        <v>0</v>
      </c>
      <c r="S288" s="22">
        <v>0</v>
      </c>
      <c r="T288" s="21">
        <f>S288*H288</f>
        <v>0</v>
      </c>
      <c r="AR288" s="6" t="s">
        <v>328</v>
      </c>
      <c r="AT288" s="6" t="s">
        <v>4</v>
      </c>
      <c r="AU288" s="6" t="s">
        <v>365</v>
      </c>
      <c r="AY288" s="7" t="s">
        <v>3</v>
      </c>
      <c r="BE288" s="8">
        <f>IF(N288="základní",J288,0)</f>
        <v>0</v>
      </c>
      <c r="BF288" s="8">
        <f>IF(N288="snížená",J288,0)</f>
        <v>0</v>
      </c>
      <c r="BG288" s="8">
        <f>IF(N288="zákl. přenesená",J288,0)</f>
        <v>0</v>
      </c>
      <c r="BH288" s="8">
        <f>IF(N288="sníž. přenesená",J288,0)</f>
        <v>0</v>
      </c>
      <c r="BI288" s="8">
        <f>IF(N288="nulová",J288,0)</f>
        <v>0</v>
      </c>
      <c r="BJ288" s="7" t="s">
        <v>2</v>
      </c>
      <c r="BK288" s="8">
        <f>ROUND(I288*H288,2)</f>
        <v>0</v>
      </c>
      <c r="BL288" s="7" t="s">
        <v>328</v>
      </c>
      <c r="BM288" s="6" t="s">
        <v>2425</v>
      </c>
    </row>
    <row r="289" spans="2:65" s="2" customFormat="1" ht="44.25" customHeight="1">
      <c r="B289" s="3"/>
      <c r="C289" s="20" t="s">
        <v>147</v>
      </c>
      <c r="D289" s="20" t="s">
        <v>4</v>
      </c>
      <c r="E289" s="19" t="s">
        <v>2424</v>
      </c>
      <c r="F289" s="14" t="s">
        <v>2423</v>
      </c>
      <c r="G289" s="18" t="s">
        <v>21</v>
      </c>
      <c r="H289" s="17">
        <v>3</v>
      </c>
      <c r="I289" s="16"/>
      <c r="J289" s="15">
        <f>ROUND(I289*H289,2)</f>
        <v>0</v>
      </c>
      <c r="K289" s="14" t="s">
        <v>7</v>
      </c>
      <c r="L289" s="3"/>
      <c r="M289" s="24" t="s">
        <v>6</v>
      </c>
      <c r="N289" s="23" t="s">
        <v>5</v>
      </c>
      <c r="P289" s="22">
        <f>O289*H289</f>
        <v>0</v>
      </c>
      <c r="Q289" s="22">
        <v>0</v>
      </c>
      <c r="R289" s="22">
        <f>Q289*H289</f>
        <v>0</v>
      </c>
      <c r="S289" s="22">
        <v>0</v>
      </c>
      <c r="T289" s="21">
        <f>S289*H289</f>
        <v>0</v>
      </c>
      <c r="AR289" s="6" t="s">
        <v>328</v>
      </c>
      <c r="AT289" s="6" t="s">
        <v>4</v>
      </c>
      <c r="AU289" s="6" t="s">
        <v>365</v>
      </c>
      <c r="AY289" s="7" t="s">
        <v>3</v>
      </c>
      <c r="BE289" s="8">
        <f>IF(N289="základní",J289,0)</f>
        <v>0</v>
      </c>
      <c r="BF289" s="8">
        <f>IF(N289="snížená",J289,0)</f>
        <v>0</v>
      </c>
      <c r="BG289" s="8">
        <f>IF(N289="zákl. přenesená",J289,0)</f>
        <v>0</v>
      </c>
      <c r="BH289" s="8">
        <f>IF(N289="sníž. přenesená",J289,0)</f>
        <v>0</v>
      </c>
      <c r="BI289" s="8">
        <f>IF(N289="nulová",J289,0)</f>
        <v>0</v>
      </c>
      <c r="BJ289" s="7" t="s">
        <v>2</v>
      </c>
      <c r="BK289" s="8">
        <f>ROUND(I289*H289,2)</f>
        <v>0</v>
      </c>
      <c r="BL289" s="7" t="s">
        <v>328</v>
      </c>
      <c r="BM289" s="6" t="s">
        <v>2422</v>
      </c>
    </row>
    <row r="290" spans="2:65" s="2" customFormat="1" ht="24.2" customHeight="1">
      <c r="B290" s="3"/>
      <c r="C290" s="20" t="s">
        <v>144</v>
      </c>
      <c r="D290" s="20" t="s">
        <v>4</v>
      </c>
      <c r="E290" s="19" t="s">
        <v>2067</v>
      </c>
      <c r="F290" s="14" t="s">
        <v>2066</v>
      </c>
      <c r="G290" s="18" t="s">
        <v>735</v>
      </c>
      <c r="H290" s="17">
        <v>5.0629999999999997</v>
      </c>
      <c r="I290" s="16"/>
      <c r="J290" s="15">
        <f>ROUND(I290*H290,2)</f>
        <v>0</v>
      </c>
      <c r="K290" s="14" t="s">
        <v>654</v>
      </c>
      <c r="L290" s="3"/>
      <c r="M290" s="24" t="s">
        <v>6</v>
      </c>
      <c r="N290" s="23" t="s">
        <v>5</v>
      </c>
      <c r="P290" s="22">
        <f>O290*H290</f>
        <v>0</v>
      </c>
      <c r="Q290" s="22">
        <v>0</v>
      </c>
      <c r="R290" s="22">
        <f>Q290*H290</f>
        <v>0</v>
      </c>
      <c r="S290" s="22">
        <v>0</v>
      </c>
      <c r="T290" s="21">
        <f>S290*H290</f>
        <v>0</v>
      </c>
      <c r="AR290" s="6" t="s">
        <v>328</v>
      </c>
      <c r="AT290" s="6" t="s">
        <v>4</v>
      </c>
      <c r="AU290" s="6" t="s">
        <v>365</v>
      </c>
      <c r="AY290" s="7" t="s">
        <v>3</v>
      </c>
      <c r="BE290" s="8">
        <f>IF(N290="základní",J290,0)</f>
        <v>0</v>
      </c>
      <c r="BF290" s="8">
        <f>IF(N290="snížená",J290,0)</f>
        <v>0</v>
      </c>
      <c r="BG290" s="8">
        <f>IF(N290="zákl. přenesená",J290,0)</f>
        <v>0</v>
      </c>
      <c r="BH290" s="8">
        <f>IF(N290="sníž. přenesená",J290,0)</f>
        <v>0</v>
      </c>
      <c r="BI290" s="8">
        <f>IF(N290="nulová",J290,0)</f>
        <v>0</v>
      </c>
      <c r="BJ290" s="7" t="s">
        <v>2</v>
      </c>
      <c r="BK290" s="8">
        <f>ROUND(I290*H290,2)</f>
        <v>0</v>
      </c>
      <c r="BL290" s="7" t="s">
        <v>328</v>
      </c>
      <c r="BM290" s="6" t="s">
        <v>2421</v>
      </c>
    </row>
    <row r="291" spans="2:65" s="2" customFormat="1">
      <c r="B291" s="3"/>
      <c r="D291" s="107" t="s">
        <v>651</v>
      </c>
      <c r="F291" s="106" t="s">
        <v>2064</v>
      </c>
      <c r="I291" s="94"/>
      <c r="L291" s="3"/>
      <c r="M291" s="100"/>
      <c r="T291" s="99"/>
      <c r="AT291" s="7" t="s">
        <v>651</v>
      </c>
      <c r="AU291" s="7" t="s">
        <v>365</v>
      </c>
    </row>
    <row r="292" spans="2:65" s="2" customFormat="1" ht="78">
      <c r="B292" s="3"/>
      <c r="D292" s="96" t="s">
        <v>731</v>
      </c>
      <c r="F292" s="95" t="s">
        <v>2059</v>
      </c>
      <c r="I292" s="94"/>
      <c r="L292" s="3"/>
      <c r="M292" s="100"/>
      <c r="T292" s="99"/>
      <c r="AT292" s="7" t="s">
        <v>731</v>
      </c>
      <c r="AU292" s="7" t="s">
        <v>365</v>
      </c>
    </row>
    <row r="293" spans="2:65" s="2" customFormat="1" ht="24.2" customHeight="1">
      <c r="B293" s="3"/>
      <c r="C293" s="20" t="s">
        <v>141</v>
      </c>
      <c r="D293" s="20" t="s">
        <v>4</v>
      </c>
      <c r="E293" s="19" t="s">
        <v>2063</v>
      </c>
      <c r="F293" s="14" t="s">
        <v>2062</v>
      </c>
      <c r="G293" s="18" t="s">
        <v>735</v>
      </c>
      <c r="H293" s="17">
        <v>5.0629999999999997</v>
      </c>
      <c r="I293" s="16"/>
      <c r="J293" s="15">
        <f>ROUND(I293*H293,2)</f>
        <v>0</v>
      </c>
      <c r="K293" s="14" t="s">
        <v>654</v>
      </c>
      <c r="L293" s="3"/>
      <c r="M293" s="24" t="s">
        <v>6</v>
      </c>
      <c r="N293" s="23" t="s">
        <v>5</v>
      </c>
      <c r="P293" s="22">
        <f>O293*H293</f>
        <v>0</v>
      </c>
      <c r="Q293" s="22">
        <v>0</v>
      </c>
      <c r="R293" s="22">
        <f>Q293*H293</f>
        <v>0</v>
      </c>
      <c r="S293" s="22">
        <v>0</v>
      </c>
      <c r="T293" s="21">
        <f>S293*H293</f>
        <v>0</v>
      </c>
      <c r="AR293" s="6" t="s">
        <v>328</v>
      </c>
      <c r="AT293" s="6" t="s">
        <v>4</v>
      </c>
      <c r="AU293" s="6" t="s">
        <v>365</v>
      </c>
      <c r="AY293" s="7" t="s">
        <v>3</v>
      </c>
      <c r="BE293" s="8">
        <f>IF(N293="základní",J293,0)</f>
        <v>0</v>
      </c>
      <c r="BF293" s="8">
        <f>IF(N293="snížená",J293,0)</f>
        <v>0</v>
      </c>
      <c r="BG293" s="8">
        <f>IF(N293="zákl. přenesená",J293,0)</f>
        <v>0</v>
      </c>
      <c r="BH293" s="8">
        <f>IF(N293="sníž. přenesená",J293,0)</f>
        <v>0</v>
      </c>
      <c r="BI293" s="8">
        <f>IF(N293="nulová",J293,0)</f>
        <v>0</v>
      </c>
      <c r="BJ293" s="7" t="s">
        <v>2</v>
      </c>
      <c r="BK293" s="8">
        <f>ROUND(I293*H293,2)</f>
        <v>0</v>
      </c>
      <c r="BL293" s="7" t="s">
        <v>328</v>
      </c>
      <c r="BM293" s="6" t="s">
        <v>2420</v>
      </c>
    </row>
    <row r="294" spans="2:65" s="2" customFormat="1">
      <c r="B294" s="3"/>
      <c r="D294" s="107" t="s">
        <v>651</v>
      </c>
      <c r="F294" s="106" t="s">
        <v>2060</v>
      </c>
      <c r="I294" s="94"/>
      <c r="L294" s="3"/>
      <c r="M294" s="100"/>
      <c r="T294" s="99"/>
      <c r="AT294" s="7" t="s">
        <v>651</v>
      </c>
      <c r="AU294" s="7" t="s">
        <v>365</v>
      </c>
    </row>
    <row r="295" spans="2:65" s="2" customFormat="1" ht="78">
      <c r="B295" s="3"/>
      <c r="D295" s="96" t="s">
        <v>731</v>
      </c>
      <c r="F295" s="95" t="s">
        <v>2059</v>
      </c>
      <c r="I295" s="94"/>
      <c r="L295" s="3"/>
      <c r="M295" s="100"/>
      <c r="T295" s="99"/>
      <c r="AT295" s="7" t="s">
        <v>731</v>
      </c>
      <c r="AU295" s="7" t="s">
        <v>365</v>
      </c>
    </row>
    <row r="296" spans="2:65" s="2" customFormat="1" ht="90" customHeight="1">
      <c r="B296" s="3"/>
      <c r="C296" s="20" t="s">
        <v>137</v>
      </c>
      <c r="D296" s="20" t="s">
        <v>4</v>
      </c>
      <c r="E296" s="19" t="s">
        <v>2419</v>
      </c>
      <c r="F296" s="14" t="s">
        <v>2418</v>
      </c>
      <c r="G296" s="18" t="s">
        <v>714</v>
      </c>
      <c r="H296" s="17">
        <v>1</v>
      </c>
      <c r="I296" s="16"/>
      <c r="J296" s="15">
        <f>ROUND(I296*H296,2)</f>
        <v>0</v>
      </c>
      <c r="K296" s="14" t="s">
        <v>7</v>
      </c>
      <c r="L296" s="3"/>
      <c r="M296" s="24" t="s">
        <v>6</v>
      </c>
      <c r="N296" s="23" t="s">
        <v>5</v>
      </c>
      <c r="P296" s="22">
        <f>O296*H296</f>
        <v>0</v>
      </c>
      <c r="Q296" s="22">
        <v>0</v>
      </c>
      <c r="R296" s="22">
        <f>Q296*H296</f>
        <v>0</v>
      </c>
      <c r="S296" s="22">
        <v>2</v>
      </c>
      <c r="T296" s="21">
        <f>S296*H296</f>
        <v>2</v>
      </c>
      <c r="AR296" s="6" t="s">
        <v>328</v>
      </c>
      <c r="AT296" s="6" t="s">
        <v>4</v>
      </c>
      <c r="AU296" s="6" t="s">
        <v>365</v>
      </c>
      <c r="AY296" s="7" t="s">
        <v>3</v>
      </c>
      <c r="BE296" s="8">
        <f>IF(N296="základní",J296,0)</f>
        <v>0</v>
      </c>
      <c r="BF296" s="8">
        <f>IF(N296="snížená",J296,0)</f>
        <v>0</v>
      </c>
      <c r="BG296" s="8">
        <f>IF(N296="zákl. přenesená",J296,0)</f>
        <v>0</v>
      </c>
      <c r="BH296" s="8">
        <f>IF(N296="sníž. přenesená",J296,0)</f>
        <v>0</v>
      </c>
      <c r="BI296" s="8">
        <f>IF(N296="nulová",J296,0)</f>
        <v>0</v>
      </c>
      <c r="BJ296" s="7" t="s">
        <v>2</v>
      </c>
      <c r="BK296" s="8">
        <f>ROUND(I296*H296,2)</f>
        <v>0</v>
      </c>
      <c r="BL296" s="7" t="s">
        <v>328</v>
      </c>
      <c r="BM296" s="6" t="s">
        <v>2417</v>
      </c>
    </row>
    <row r="297" spans="2:65" s="2" customFormat="1" ht="16.5" customHeight="1">
      <c r="B297" s="3"/>
      <c r="C297" s="20" t="s">
        <v>133</v>
      </c>
      <c r="D297" s="20" t="s">
        <v>4</v>
      </c>
      <c r="E297" s="19" t="s">
        <v>2416</v>
      </c>
      <c r="F297" s="14" t="s">
        <v>2415</v>
      </c>
      <c r="G297" s="18" t="s">
        <v>714</v>
      </c>
      <c r="H297" s="17">
        <v>1</v>
      </c>
      <c r="I297" s="16"/>
      <c r="J297" s="15">
        <f>ROUND(I297*H297,2)</f>
        <v>0</v>
      </c>
      <c r="K297" s="14" t="s">
        <v>7</v>
      </c>
      <c r="L297" s="3"/>
      <c r="M297" s="24" t="s">
        <v>6</v>
      </c>
      <c r="N297" s="23" t="s">
        <v>5</v>
      </c>
      <c r="P297" s="22">
        <f>O297*H297</f>
        <v>0</v>
      </c>
      <c r="Q297" s="22">
        <v>0</v>
      </c>
      <c r="R297" s="22">
        <f>Q297*H297</f>
        <v>0</v>
      </c>
      <c r="S297" s="22">
        <v>0</v>
      </c>
      <c r="T297" s="21">
        <f>S297*H297</f>
        <v>0</v>
      </c>
      <c r="AR297" s="6" t="s">
        <v>328</v>
      </c>
      <c r="AT297" s="6" t="s">
        <v>4</v>
      </c>
      <c r="AU297" s="6" t="s">
        <v>365</v>
      </c>
      <c r="AY297" s="7" t="s">
        <v>3</v>
      </c>
      <c r="BE297" s="8">
        <f>IF(N297="základní",J297,0)</f>
        <v>0</v>
      </c>
      <c r="BF297" s="8">
        <f>IF(N297="snížená",J297,0)</f>
        <v>0</v>
      </c>
      <c r="BG297" s="8">
        <f>IF(N297="zákl. přenesená",J297,0)</f>
        <v>0</v>
      </c>
      <c r="BH297" s="8">
        <f>IF(N297="sníž. přenesená",J297,0)</f>
        <v>0</v>
      </c>
      <c r="BI297" s="8">
        <f>IF(N297="nulová",J297,0)</f>
        <v>0</v>
      </c>
      <c r="BJ297" s="7" t="s">
        <v>2</v>
      </c>
      <c r="BK297" s="8">
        <f>ROUND(I297*H297,2)</f>
        <v>0</v>
      </c>
      <c r="BL297" s="7" t="s">
        <v>328</v>
      </c>
      <c r="BM297" s="6" t="s">
        <v>2414</v>
      </c>
    </row>
    <row r="298" spans="2:65" s="2" customFormat="1" ht="16.5" customHeight="1">
      <c r="B298" s="3"/>
      <c r="C298" s="20" t="s">
        <v>129</v>
      </c>
      <c r="D298" s="20" t="s">
        <v>4</v>
      </c>
      <c r="E298" s="19" t="s">
        <v>2413</v>
      </c>
      <c r="F298" s="14" t="s">
        <v>2412</v>
      </c>
      <c r="G298" s="18" t="s">
        <v>722</v>
      </c>
      <c r="H298" s="17">
        <v>1</v>
      </c>
      <c r="I298" s="16"/>
      <c r="J298" s="15">
        <f>ROUND(I298*H298,2)</f>
        <v>0</v>
      </c>
      <c r="K298" s="14" t="s">
        <v>654</v>
      </c>
      <c r="L298" s="3"/>
      <c r="M298" s="24" t="s">
        <v>6</v>
      </c>
      <c r="N298" s="23" t="s">
        <v>5</v>
      </c>
      <c r="P298" s="22">
        <f>O298*H298</f>
        <v>0</v>
      </c>
      <c r="Q298" s="22">
        <v>0</v>
      </c>
      <c r="R298" s="22">
        <f>Q298*H298</f>
        <v>0</v>
      </c>
      <c r="S298" s="22">
        <v>0.16</v>
      </c>
      <c r="T298" s="21">
        <f>S298*H298</f>
        <v>0.16</v>
      </c>
      <c r="AR298" s="6" t="s">
        <v>328</v>
      </c>
      <c r="AT298" s="6" t="s">
        <v>4</v>
      </c>
      <c r="AU298" s="6" t="s">
        <v>365</v>
      </c>
      <c r="AY298" s="7" t="s">
        <v>3</v>
      </c>
      <c r="BE298" s="8">
        <f>IF(N298="základní",J298,0)</f>
        <v>0</v>
      </c>
      <c r="BF298" s="8">
        <f>IF(N298="snížená",J298,0)</f>
        <v>0</v>
      </c>
      <c r="BG298" s="8">
        <f>IF(N298="zákl. přenesená",J298,0)</f>
        <v>0</v>
      </c>
      <c r="BH298" s="8">
        <f>IF(N298="sníž. přenesená",J298,0)</f>
        <v>0</v>
      </c>
      <c r="BI298" s="8">
        <f>IF(N298="nulová",J298,0)</f>
        <v>0</v>
      </c>
      <c r="BJ298" s="7" t="s">
        <v>2</v>
      </c>
      <c r="BK298" s="8">
        <f>ROUND(I298*H298,2)</f>
        <v>0</v>
      </c>
      <c r="BL298" s="7" t="s">
        <v>328</v>
      </c>
      <c r="BM298" s="6" t="s">
        <v>2411</v>
      </c>
    </row>
    <row r="299" spans="2:65" s="2" customFormat="1">
      <c r="B299" s="3"/>
      <c r="D299" s="107" t="s">
        <v>651</v>
      </c>
      <c r="F299" s="106" t="s">
        <v>2410</v>
      </c>
      <c r="I299" s="94"/>
      <c r="L299" s="3"/>
      <c r="M299" s="100"/>
      <c r="T299" s="99"/>
      <c r="AT299" s="7" t="s">
        <v>651</v>
      </c>
      <c r="AU299" s="7" t="s">
        <v>365</v>
      </c>
    </row>
    <row r="300" spans="2:65" s="2" customFormat="1" ht="24.2" customHeight="1">
      <c r="B300" s="3"/>
      <c r="C300" s="20" t="s">
        <v>125</v>
      </c>
      <c r="D300" s="20" t="s">
        <v>4</v>
      </c>
      <c r="E300" s="19" t="s">
        <v>2239</v>
      </c>
      <c r="F300" s="14" t="s">
        <v>2238</v>
      </c>
      <c r="G300" s="18" t="s">
        <v>21</v>
      </c>
      <c r="H300" s="17">
        <v>4.9000000000000004</v>
      </c>
      <c r="I300" s="16"/>
      <c r="J300" s="15">
        <f>ROUND(I300*H300,2)</f>
        <v>0</v>
      </c>
      <c r="K300" s="14" t="s">
        <v>654</v>
      </c>
      <c r="L300" s="3"/>
      <c r="M300" s="24" t="s">
        <v>6</v>
      </c>
      <c r="N300" s="23" t="s">
        <v>5</v>
      </c>
      <c r="P300" s="22">
        <f>O300*H300</f>
        <v>0</v>
      </c>
      <c r="Q300" s="22">
        <v>0</v>
      </c>
      <c r="R300" s="22">
        <f>Q300*H300</f>
        <v>0</v>
      </c>
      <c r="S300" s="22">
        <v>1.7399999999999999E-2</v>
      </c>
      <c r="T300" s="21">
        <f>S300*H300</f>
        <v>8.5260000000000002E-2</v>
      </c>
      <c r="AR300" s="6" t="s">
        <v>328</v>
      </c>
      <c r="AT300" s="6" t="s">
        <v>4</v>
      </c>
      <c r="AU300" s="6" t="s">
        <v>365</v>
      </c>
      <c r="AY300" s="7" t="s">
        <v>3</v>
      </c>
      <c r="BE300" s="8">
        <f>IF(N300="základní",J300,0)</f>
        <v>0</v>
      </c>
      <c r="BF300" s="8">
        <f>IF(N300="snížená",J300,0)</f>
        <v>0</v>
      </c>
      <c r="BG300" s="8">
        <f>IF(N300="zákl. přenesená",J300,0)</f>
        <v>0</v>
      </c>
      <c r="BH300" s="8">
        <f>IF(N300="sníž. přenesená",J300,0)</f>
        <v>0</v>
      </c>
      <c r="BI300" s="8">
        <f>IF(N300="nulová",J300,0)</f>
        <v>0</v>
      </c>
      <c r="BJ300" s="7" t="s">
        <v>2</v>
      </c>
      <c r="BK300" s="8">
        <f>ROUND(I300*H300,2)</f>
        <v>0</v>
      </c>
      <c r="BL300" s="7" t="s">
        <v>328</v>
      </c>
      <c r="BM300" s="6" t="s">
        <v>2409</v>
      </c>
    </row>
    <row r="301" spans="2:65" s="2" customFormat="1">
      <c r="B301" s="3"/>
      <c r="D301" s="107" t="s">
        <v>651</v>
      </c>
      <c r="F301" s="106" t="s">
        <v>2236</v>
      </c>
      <c r="I301" s="94"/>
      <c r="L301" s="3"/>
      <c r="M301" s="100"/>
      <c r="T301" s="99"/>
      <c r="AT301" s="7" t="s">
        <v>651</v>
      </c>
      <c r="AU301" s="7" t="s">
        <v>365</v>
      </c>
    </row>
    <row r="302" spans="2:65" s="2" customFormat="1" ht="24.2" customHeight="1">
      <c r="B302" s="3"/>
      <c r="C302" s="20" t="s">
        <v>121</v>
      </c>
      <c r="D302" s="20" t="s">
        <v>4</v>
      </c>
      <c r="E302" s="19" t="s">
        <v>2408</v>
      </c>
      <c r="F302" s="14" t="s">
        <v>2407</v>
      </c>
      <c r="G302" s="18" t="s">
        <v>21</v>
      </c>
      <c r="H302" s="17">
        <v>4.8</v>
      </c>
      <c r="I302" s="16"/>
      <c r="J302" s="15">
        <f>ROUND(I302*H302,2)</f>
        <v>0</v>
      </c>
      <c r="K302" s="14" t="s">
        <v>654</v>
      </c>
      <c r="L302" s="3"/>
      <c r="M302" s="24" t="s">
        <v>6</v>
      </c>
      <c r="N302" s="23" t="s">
        <v>5</v>
      </c>
      <c r="P302" s="22">
        <f>O302*H302</f>
        <v>0</v>
      </c>
      <c r="Q302" s="22">
        <v>0</v>
      </c>
      <c r="R302" s="22">
        <f>Q302*H302</f>
        <v>0</v>
      </c>
      <c r="S302" s="22">
        <v>2.41E-2</v>
      </c>
      <c r="T302" s="21">
        <f>S302*H302</f>
        <v>0.11567999999999999</v>
      </c>
      <c r="AR302" s="6" t="s">
        <v>328</v>
      </c>
      <c r="AT302" s="6" t="s">
        <v>4</v>
      </c>
      <c r="AU302" s="6" t="s">
        <v>365</v>
      </c>
      <c r="AY302" s="7" t="s">
        <v>3</v>
      </c>
      <c r="BE302" s="8">
        <f>IF(N302="základní",J302,0)</f>
        <v>0</v>
      </c>
      <c r="BF302" s="8">
        <f>IF(N302="snížená",J302,0)</f>
        <v>0</v>
      </c>
      <c r="BG302" s="8">
        <f>IF(N302="zákl. přenesená",J302,0)</f>
        <v>0</v>
      </c>
      <c r="BH302" s="8">
        <f>IF(N302="sníž. přenesená",J302,0)</f>
        <v>0</v>
      </c>
      <c r="BI302" s="8">
        <f>IF(N302="nulová",J302,0)</f>
        <v>0</v>
      </c>
      <c r="BJ302" s="7" t="s">
        <v>2</v>
      </c>
      <c r="BK302" s="8">
        <f>ROUND(I302*H302,2)</f>
        <v>0</v>
      </c>
      <c r="BL302" s="7" t="s">
        <v>328</v>
      </c>
      <c r="BM302" s="6" t="s">
        <v>2406</v>
      </c>
    </row>
    <row r="303" spans="2:65" s="2" customFormat="1">
      <c r="B303" s="3"/>
      <c r="D303" s="107" t="s">
        <v>651</v>
      </c>
      <c r="F303" s="106" t="s">
        <v>2405</v>
      </c>
      <c r="I303" s="94"/>
      <c r="L303" s="3"/>
      <c r="M303" s="100"/>
      <c r="T303" s="99"/>
      <c r="AT303" s="7" t="s">
        <v>651</v>
      </c>
      <c r="AU303" s="7" t="s">
        <v>365</v>
      </c>
    </row>
    <row r="304" spans="2:65" s="108" customFormat="1">
      <c r="B304" s="112"/>
      <c r="D304" s="96" t="s">
        <v>704</v>
      </c>
      <c r="E304" s="109" t="s">
        <v>6</v>
      </c>
      <c r="F304" s="115" t="s">
        <v>2404</v>
      </c>
      <c r="H304" s="114">
        <v>4.8</v>
      </c>
      <c r="I304" s="113"/>
      <c r="L304" s="112"/>
      <c r="M304" s="111"/>
      <c r="T304" s="110"/>
      <c r="AT304" s="109" t="s">
        <v>704</v>
      </c>
      <c r="AU304" s="109" t="s">
        <v>365</v>
      </c>
      <c r="AV304" s="108" t="s">
        <v>365</v>
      </c>
      <c r="AW304" s="108" t="s">
        <v>703</v>
      </c>
      <c r="AX304" s="108" t="s">
        <v>2</v>
      </c>
      <c r="AY304" s="109" t="s">
        <v>3</v>
      </c>
    </row>
    <row r="305" spans="2:65" s="2" customFormat="1" ht="24.2" customHeight="1">
      <c r="B305" s="3"/>
      <c r="C305" s="20" t="s">
        <v>115</v>
      </c>
      <c r="D305" s="20" t="s">
        <v>4</v>
      </c>
      <c r="E305" s="19" t="s">
        <v>2403</v>
      </c>
      <c r="F305" s="14" t="s">
        <v>2402</v>
      </c>
      <c r="G305" s="18" t="s">
        <v>21</v>
      </c>
      <c r="H305" s="17">
        <v>9.9</v>
      </c>
      <c r="I305" s="16"/>
      <c r="J305" s="15">
        <f>ROUND(I305*H305,2)</f>
        <v>0</v>
      </c>
      <c r="K305" s="14" t="s">
        <v>654</v>
      </c>
      <c r="L305" s="3"/>
      <c r="M305" s="24" t="s">
        <v>6</v>
      </c>
      <c r="N305" s="23" t="s">
        <v>5</v>
      </c>
      <c r="P305" s="22">
        <f>O305*H305</f>
        <v>0</v>
      </c>
      <c r="Q305" s="22">
        <v>0</v>
      </c>
      <c r="R305" s="22">
        <f>Q305*H305</f>
        <v>0</v>
      </c>
      <c r="S305" s="22">
        <v>3.0200000000000001E-2</v>
      </c>
      <c r="T305" s="21">
        <f>S305*H305</f>
        <v>0.29898000000000002</v>
      </c>
      <c r="AR305" s="6" t="s">
        <v>328</v>
      </c>
      <c r="AT305" s="6" t="s">
        <v>4</v>
      </c>
      <c r="AU305" s="6" t="s">
        <v>365</v>
      </c>
      <c r="AY305" s="7" t="s">
        <v>3</v>
      </c>
      <c r="BE305" s="8">
        <f>IF(N305="základní",J305,0)</f>
        <v>0</v>
      </c>
      <c r="BF305" s="8">
        <f>IF(N305="snížená",J305,0)</f>
        <v>0</v>
      </c>
      <c r="BG305" s="8">
        <f>IF(N305="zákl. přenesená",J305,0)</f>
        <v>0</v>
      </c>
      <c r="BH305" s="8">
        <f>IF(N305="sníž. přenesená",J305,0)</f>
        <v>0</v>
      </c>
      <c r="BI305" s="8">
        <f>IF(N305="nulová",J305,0)</f>
        <v>0</v>
      </c>
      <c r="BJ305" s="7" t="s">
        <v>2</v>
      </c>
      <c r="BK305" s="8">
        <f>ROUND(I305*H305,2)</f>
        <v>0</v>
      </c>
      <c r="BL305" s="7" t="s">
        <v>328</v>
      </c>
      <c r="BM305" s="6" t="s">
        <v>2401</v>
      </c>
    </row>
    <row r="306" spans="2:65" s="2" customFormat="1">
      <c r="B306" s="3"/>
      <c r="D306" s="107" t="s">
        <v>651</v>
      </c>
      <c r="F306" s="106" t="s">
        <v>2400</v>
      </c>
      <c r="I306" s="94"/>
      <c r="L306" s="3"/>
      <c r="M306" s="100"/>
      <c r="T306" s="99"/>
      <c r="AT306" s="7" t="s">
        <v>651</v>
      </c>
      <c r="AU306" s="7" t="s">
        <v>365</v>
      </c>
    </row>
    <row r="307" spans="2:65" s="2" customFormat="1" ht="16.5" customHeight="1">
      <c r="B307" s="3"/>
      <c r="C307" s="20" t="s">
        <v>109</v>
      </c>
      <c r="D307" s="20" t="s">
        <v>4</v>
      </c>
      <c r="E307" s="19" t="s">
        <v>2399</v>
      </c>
      <c r="F307" s="14" t="s">
        <v>2398</v>
      </c>
      <c r="G307" s="18" t="s">
        <v>722</v>
      </c>
      <c r="H307" s="17">
        <v>2</v>
      </c>
      <c r="I307" s="16"/>
      <c r="J307" s="15">
        <f>ROUND(I307*H307,2)</f>
        <v>0</v>
      </c>
      <c r="K307" s="14" t="s">
        <v>654</v>
      </c>
      <c r="L307" s="3"/>
      <c r="M307" s="24" t="s">
        <v>6</v>
      </c>
      <c r="N307" s="23" t="s">
        <v>5</v>
      </c>
      <c r="P307" s="22">
        <f>O307*H307</f>
        <v>0</v>
      </c>
      <c r="Q307" s="22">
        <v>0</v>
      </c>
      <c r="R307" s="22">
        <f>Q307*H307</f>
        <v>0</v>
      </c>
      <c r="S307" s="22">
        <v>2.8000000000000001E-2</v>
      </c>
      <c r="T307" s="21">
        <f>S307*H307</f>
        <v>5.6000000000000001E-2</v>
      </c>
      <c r="AR307" s="6" t="s">
        <v>328</v>
      </c>
      <c r="AT307" s="6" t="s">
        <v>4</v>
      </c>
      <c r="AU307" s="6" t="s">
        <v>365</v>
      </c>
      <c r="AY307" s="7" t="s">
        <v>3</v>
      </c>
      <c r="BE307" s="8">
        <f>IF(N307="základní",J307,0)</f>
        <v>0</v>
      </c>
      <c r="BF307" s="8">
        <f>IF(N307="snížená",J307,0)</f>
        <v>0</v>
      </c>
      <c r="BG307" s="8">
        <f>IF(N307="zákl. přenesená",J307,0)</f>
        <v>0</v>
      </c>
      <c r="BH307" s="8">
        <f>IF(N307="sníž. přenesená",J307,0)</f>
        <v>0</v>
      </c>
      <c r="BI307" s="8">
        <f>IF(N307="nulová",J307,0)</f>
        <v>0</v>
      </c>
      <c r="BJ307" s="7" t="s">
        <v>2</v>
      </c>
      <c r="BK307" s="8">
        <f>ROUND(I307*H307,2)</f>
        <v>0</v>
      </c>
      <c r="BL307" s="7" t="s">
        <v>328</v>
      </c>
      <c r="BM307" s="6" t="s">
        <v>2397</v>
      </c>
    </row>
    <row r="308" spans="2:65" s="2" customFormat="1">
      <c r="B308" s="3"/>
      <c r="D308" s="107" t="s">
        <v>651</v>
      </c>
      <c r="F308" s="106" t="s">
        <v>2396</v>
      </c>
      <c r="I308" s="94"/>
      <c r="L308" s="3"/>
      <c r="M308" s="100"/>
      <c r="T308" s="99"/>
      <c r="AT308" s="7" t="s">
        <v>651</v>
      </c>
      <c r="AU308" s="7" t="s">
        <v>365</v>
      </c>
    </row>
    <row r="309" spans="2:65" s="25" customFormat="1" ht="22.9" customHeight="1">
      <c r="B309" s="32"/>
      <c r="D309" s="27" t="s">
        <v>26</v>
      </c>
      <c r="E309" s="98" t="s">
        <v>2395</v>
      </c>
      <c r="F309" s="98" t="s">
        <v>2394</v>
      </c>
      <c r="I309" s="34"/>
      <c r="J309" s="97">
        <f>BK309</f>
        <v>0</v>
      </c>
      <c r="L309" s="32"/>
      <c r="M309" s="31"/>
      <c r="P309" s="30">
        <f>SUM(P310:P446)</f>
        <v>0</v>
      </c>
      <c r="R309" s="30">
        <f>SUM(R310:R446)</f>
        <v>2.8846759999999998</v>
      </c>
      <c r="T309" s="29">
        <f>SUM(T310:T446)</f>
        <v>0.65321200000000001</v>
      </c>
      <c r="AR309" s="27" t="s">
        <v>365</v>
      </c>
      <c r="AT309" s="28" t="s">
        <v>26</v>
      </c>
      <c r="AU309" s="28" t="s">
        <v>2</v>
      </c>
      <c r="AY309" s="27" t="s">
        <v>3</v>
      </c>
      <c r="BK309" s="26">
        <f>SUM(BK310:BK446)</f>
        <v>0</v>
      </c>
    </row>
    <row r="310" spans="2:65" s="2" customFormat="1" ht="16.5" customHeight="1">
      <c r="B310" s="3"/>
      <c r="C310" s="20" t="s">
        <v>105</v>
      </c>
      <c r="D310" s="20" t="s">
        <v>4</v>
      </c>
      <c r="E310" s="19" t="s">
        <v>2393</v>
      </c>
      <c r="F310" s="14" t="s">
        <v>2392</v>
      </c>
      <c r="G310" s="18" t="s">
        <v>714</v>
      </c>
      <c r="H310" s="17">
        <v>1</v>
      </c>
      <c r="I310" s="16"/>
      <c r="J310" s="15">
        <f>ROUND(I310*H310,2)</f>
        <v>0</v>
      </c>
      <c r="K310" s="14" t="s">
        <v>7</v>
      </c>
      <c r="L310" s="3"/>
      <c r="M310" s="24" t="s">
        <v>6</v>
      </c>
      <c r="N310" s="23" t="s">
        <v>5</v>
      </c>
      <c r="P310" s="22">
        <f>O310*H310</f>
        <v>0</v>
      </c>
      <c r="Q310" s="22">
        <v>0.02</v>
      </c>
      <c r="R310" s="22">
        <f>Q310*H310</f>
        <v>0.02</v>
      </c>
      <c r="S310" s="22">
        <v>0</v>
      </c>
      <c r="T310" s="21">
        <f>S310*H310</f>
        <v>0</v>
      </c>
      <c r="AR310" s="6" t="s">
        <v>328</v>
      </c>
      <c r="AT310" s="6" t="s">
        <v>4</v>
      </c>
      <c r="AU310" s="6" t="s">
        <v>365</v>
      </c>
      <c r="AY310" s="7" t="s">
        <v>3</v>
      </c>
      <c r="BE310" s="8">
        <f>IF(N310="základní",J310,0)</f>
        <v>0</v>
      </c>
      <c r="BF310" s="8">
        <f>IF(N310="snížená",J310,0)</f>
        <v>0</v>
      </c>
      <c r="BG310" s="8">
        <f>IF(N310="zákl. přenesená",J310,0)</f>
        <v>0</v>
      </c>
      <c r="BH310" s="8">
        <f>IF(N310="sníž. přenesená",J310,0)</f>
        <v>0</v>
      </c>
      <c r="BI310" s="8">
        <f>IF(N310="nulová",J310,0)</f>
        <v>0</v>
      </c>
      <c r="BJ310" s="7" t="s">
        <v>2</v>
      </c>
      <c r="BK310" s="8">
        <f>ROUND(I310*H310,2)</f>
        <v>0</v>
      </c>
      <c r="BL310" s="7" t="s">
        <v>328</v>
      </c>
      <c r="BM310" s="6" t="s">
        <v>2391</v>
      </c>
    </row>
    <row r="311" spans="2:65" s="269" customFormat="1">
      <c r="B311" s="273"/>
      <c r="D311" s="96" t="s">
        <v>704</v>
      </c>
      <c r="E311" s="270" t="s">
        <v>6</v>
      </c>
      <c r="F311" s="275" t="s">
        <v>2256</v>
      </c>
      <c r="H311" s="270" t="s">
        <v>6</v>
      </c>
      <c r="I311" s="274"/>
      <c r="L311" s="273"/>
      <c r="M311" s="272"/>
      <c r="T311" s="271"/>
      <c r="AT311" s="270" t="s">
        <v>704</v>
      </c>
      <c r="AU311" s="270" t="s">
        <v>365</v>
      </c>
      <c r="AV311" s="269" t="s">
        <v>2</v>
      </c>
      <c r="AW311" s="269" t="s">
        <v>703</v>
      </c>
      <c r="AX311" s="269" t="s">
        <v>25</v>
      </c>
      <c r="AY311" s="270" t="s">
        <v>3</v>
      </c>
    </row>
    <row r="312" spans="2:65" s="108" customFormat="1">
      <c r="B312" s="112"/>
      <c r="D312" s="96" t="s">
        <v>704</v>
      </c>
      <c r="E312" s="109" t="s">
        <v>6</v>
      </c>
      <c r="F312" s="115" t="s">
        <v>2</v>
      </c>
      <c r="H312" s="114">
        <v>1</v>
      </c>
      <c r="I312" s="113"/>
      <c r="L312" s="112"/>
      <c r="M312" s="111"/>
      <c r="T312" s="110"/>
      <c r="AT312" s="109" t="s">
        <v>704</v>
      </c>
      <c r="AU312" s="109" t="s">
        <v>365</v>
      </c>
      <c r="AV312" s="108" t="s">
        <v>365</v>
      </c>
      <c r="AW312" s="108" t="s">
        <v>703</v>
      </c>
      <c r="AX312" s="108" t="s">
        <v>2</v>
      </c>
      <c r="AY312" s="109" t="s">
        <v>3</v>
      </c>
    </row>
    <row r="313" spans="2:65" s="2" customFormat="1" ht="16.5" customHeight="1">
      <c r="B313" s="3"/>
      <c r="C313" s="20" t="s">
        <v>101</v>
      </c>
      <c r="D313" s="20" t="s">
        <v>4</v>
      </c>
      <c r="E313" s="19" t="s">
        <v>2390</v>
      </c>
      <c r="F313" s="14" t="s">
        <v>2389</v>
      </c>
      <c r="G313" s="18" t="s">
        <v>714</v>
      </c>
      <c r="H313" s="17">
        <v>1</v>
      </c>
      <c r="I313" s="16"/>
      <c r="J313" s="15">
        <f>ROUND(I313*H313,2)</f>
        <v>0</v>
      </c>
      <c r="K313" s="14" t="s">
        <v>7</v>
      </c>
      <c r="L313" s="3"/>
      <c r="M313" s="24" t="s">
        <v>6</v>
      </c>
      <c r="N313" s="23" t="s">
        <v>5</v>
      </c>
      <c r="P313" s="22">
        <f>O313*H313</f>
        <v>0</v>
      </c>
      <c r="Q313" s="22">
        <v>0.04</v>
      </c>
      <c r="R313" s="22">
        <f>Q313*H313</f>
        <v>0.04</v>
      </c>
      <c r="S313" s="22">
        <v>0</v>
      </c>
      <c r="T313" s="21">
        <f>S313*H313</f>
        <v>0</v>
      </c>
      <c r="AR313" s="6" t="s">
        <v>328</v>
      </c>
      <c r="AT313" s="6" t="s">
        <v>4</v>
      </c>
      <c r="AU313" s="6" t="s">
        <v>365</v>
      </c>
      <c r="AY313" s="7" t="s">
        <v>3</v>
      </c>
      <c r="BE313" s="8">
        <f>IF(N313="základní",J313,0)</f>
        <v>0</v>
      </c>
      <c r="BF313" s="8">
        <f>IF(N313="snížená",J313,0)</f>
        <v>0</v>
      </c>
      <c r="BG313" s="8">
        <f>IF(N313="zákl. přenesená",J313,0)</f>
        <v>0</v>
      </c>
      <c r="BH313" s="8">
        <f>IF(N313="sníž. přenesená",J313,0)</f>
        <v>0</v>
      </c>
      <c r="BI313" s="8">
        <f>IF(N313="nulová",J313,0)</f>
        <v>0</v>
      </c>
      <c r="BJ313" s="7" t="s">
        <v>2</v>
      </c>
      <c r="BK313" s="8">
        <f>ROUND(I313*H313,2)</f>
        <v>0</v>
      </c>
      <c r="BL313" s="7" t="s">
        <v>328</v>
      </c>
      <c r="BM313" s="6" t="s">
        <v>2388</v>
      </c>
    </row>
    <row r="314" spans="2:65" s="269" customFormat="1">
      <c r="B314" s="273"/>
      <c r="D314" s="96" t="s">
        <v>704</v>
      </c>
      <c r="E314" s="270" t="s">
        <v>6</v>
      </c>
      <c r="F314" s="275" t="s">
        <v>2256</v>
      </c>
      <c r="H314" s="270" t="s">
        <v>6</v>
      </c>
      <c r="I314" s="274"/>
      <c r="L314" s="273"/>
      <c r="M314" s="272"/>
      <c r="T314" s="271"/>
      <c r="AT314" s="270" t="s">
        <v>704</v>
      </c>
      <c r="AU314" s="270" t="s">
        <v>365</v>
      </c>
      <c r="AV314" s="269" t="s">
        <v>2</v>
      </c>
      <c r="AW314" s="269" t="s">
        <v>703</v>
      </c>
      <c r="AX314" s="269" t="s">
        <v>25</v>
      </c>
      <c r="AY314" s="270" t="s">
        <v>3</v>
      </c>
    </row>
    <row r="315" spans="2:65" s="108" customFormat="1">
      <c r="B315" s="112"/>
      <c r="D315" s="96" t="s">
        <v>704</v>
      </c>
      <c r="E315" s="109" t="s">
        <v>6</v>
      </c>
      <c r="F315" s="115" t="s">
        <v>2</v>
      </c>
      <c r="H315" s="114">
        <v>1</v>
      </c>
      <c r="I315" s="113"/>
      <c r="L315" s="112"/>
      <c r="M315" s="111"/>
      <c r="T315" s="110"/>
      <c r="AT315" s="109" t="s">
        <v>704</v>
      </c>
      <c r="AU315" s="109" t="s">
        <v>365</v>
      </c>
      <c r="AV315" s="108" t="s">
        <v>365</v>
      </c>
      <c r="AW315" s="108" t="s">
        <v>703</v>
      </c>
      <c r="AX315" s="108" t="s">
        <v>2</v>
      </c>
      <c r="AY315" s="109" t="s">
        <v>3</v>
      </c>
    </row>
    <row r="316" spans="2:65" s="2" customFormat="1" ht="322.89999999999998" customHeight="1">
      <c r="B316" s="3"/>
      <c r="C316" s="125" t="s">
        <v>97</v>
      </c>
      <c r="D316" s="125" t="s">
        <v>750</v>
      </c>
      <c r="E316" s="124" t="s">
        <v>2387</v>
      </c>
      <c r="F316" s="119" t="s">
        <v>2386</v>
      </c>
      <c r="G316" s="123" t="s">
        <v>714</v>
      </c>
      <c r="H316" s="122">
        <v>1</v>
      </c>
      <c r="I316" s="121"/>
      <c r="J316" s="120">
        <f>ROUND(I316*H316,2)</f>
        <v>0</v>
      </c>
      <c r="K316" s="119" t="s">
        <v>7</v>
      </c>
      <c r="L316" s="118"/>
      <c r="M316" s="117" t="s">
        <v>6</v>
      </c>
      <c r="N316" s="116" t="s">
        <v>5</v>
      </c>
      <c r="P316" s="22">
        <f>O316*H316</f>
        <v>0</v>
      </c>
      <c r="Q316" s="22">
        <v>1</v>
      </c>
      <c r="R316" s="22">
        <f>Q316*H316</f>
        <v>1</v>
      </c>
      <c r="S316" s="22">
        <v>0</v>
      </c>
      <c r="T316" s="21">
        <f>S316*H316</f>
        <v>0</v>
      </c>
      <c r="AR316" s="6" t="s">
        <v>283</v>
      </c>
      <c r="AT316" s="6" t="s">
        <v>750</v>
      </c>
      <c r="AU316" s="6" t="s">
        <v>365</v>
      </c>
      <c r="AY316" s="7" t="s">
        <v>3</v>
      </c>
      <c r="BE316" s="8">
        <f>IF(N316="základní",J316,0)</f>
        <v>0</v>
      </c>
      <c r="BF316" s="8">
        <f>IF(N316="snížená",J316,0)</f>
        <v>0</v>
      </c>
      <c r="BG316" s="8">
        <f>IF(N316="zákl. přenesená",J316,0)</f>
        <v>0</v>
      </c>
      <c r="BH316" s="8">
        <f>IF(N316="sníž. přenesená",J316,0)</f>
        <v>0</v>
      </c>
      <c r="BI316" s="8">
        <f>IF(N316="nulová",J316,0)</f>
        <v>0</v>
      </c>
      <c r="BJ316" s="7" t="s">
        <v>2</v>
      </c>
      <c r="BK316" s="8">
        <f>ROUND(I316*H316,2)</f>
        <v>0</v>
      </c>
      <c r="BL316" s="7" t="s">
        <v>328</v>
      </c>
      <c r="BM316" s="6" t="s">
        <v>2385</v>
      </c>
    </row>
    <row r="317" spans="2:65" s="2" customFormat="1" ht="16.5" customHeight="1">
      <c r="B317" s="3"/>
      <c r="C317" s="20" t="s">
        <v>93</v>
      </c>
      <c r="D317" s="20" t="s">
        <v>4</v>
      </c>
      <c r="E317" s="19" t="s">
        <v>2384</v>
      </c>
      <c r="F317" s="14" t="s">
        <v>2383</v>
      </c>
      <c r="G317" s="18" t="s">
        <v>714</v>
      </c>
      <c r="H317" s="17">
        <v>1</v>
      </c>
      <c r="I317" s="16"/>
      <c r="J317" s="15">
        <f>ROUND(I317*H317,2)</f>
        <v>0</v>
      </c>
      <c r="K317" s="14" t="s">
        <v>7</v>
      </c>
      <c r="L317" s="3"/>
      <c r="M317" s="24" t="s">
        <v>6</v>
      </c>
      <c r="N317" s="23" t="s">
        <v>5</v>
      </c>
      <c r="P317" s="22">
        <f>O317*H317</f>
        <v>0</v>
      </c>
      <c r="Q317" s="22">
        <v>0</v>
      </c>
      <c r="R317" s="22">
        <f>Q317*H317</f>
        <v>0</v>
      </c>
      <c r="S317" s="22">
        <v>0</v>
      </c>
      <c r="T317" s="21">
        <f>S317*H317</f>
        <v>0</v>
      </c>
      <c r="AR317" s="6" t="s">
        <v>328</v>
      </c>
      <c r="AT317" s="6" t="s">
        <v>4</v>
      </c>
      <c r="AU317" s="6" t="s">
        <v>365</v>
      </c>
      <c r="AY317" s="7" t="s">
        <v>3</v>
      </c>
      <c r="BE317" s="8">
        <f>IF(N317="základní",J317,0)</f>
        <v>0</v>
      </c>
      <c r="BF317" s="8">
        <f>IF(N317="snížená",J317,0)</f>
        <v>0</v>
      </c>
      <c r="BG317" s="8">
        <f>IF(N317="zákl. přenesená",J317,0)</f>
        <v>0</v>
      </c>
      <c r="BH317" s="8">
        <f>IF(N317="sníž. přenesená",J317,0)</f>
        <v>0</v>
      </c>
      <c r="BI317" s="8">
        <f>IF(N317="nulová",J317,0)</f>
        <v>0</v>
      </c>
      <c r="BJ317" s="7" t="s">
        <v>2</v>
      </c>
      <c r="BK317" s="8">
        <f>ROUND(I317*H317,2)</f>
        <v>0</v>
      </c>
      <c r="BL317" s="7" t="s">
        <v>328</v>
      </c>
      <c r="BM317" s="6" t="s">
        <v>2382</v>
      </c>
    </row>
    <row r="318" spans="2:65" s="269" customFormat="1">
      <c r="B318" s="273"/>
      <c r="D318" s="96" t="s">
        <v>704</v>
      </c>
      <c r="E318" s="270" t="s">
        <v>6</v>
      </c>
      <c r="F318" s="275" t="s">
        <v>2256</v>
      </c>
      <c r="H318" s="270" t="s">
        <v>6</v>
      </c>
      <c r="I318" s="274"/>
      <c r="L318" s="273"/>
      <c r="M318" s="272"/>
      <c r="T318" s="271"/>
      <c r="AT318" s="270" t="s">
        <v>704</v>
      </c>
      <c r="AU318" s="270" t="s">
        <v>365</v>
      </c>
      <c r="AV318" s="269" t="s">
        <v>2</v>
      </c>
      <c r="AW318" s="269" t="s">
        <v>703</v>
      </c>
      <c r="AX318" s="269" t="s">
        <v>25</v>
      </c>
      <c r="AY318" s="270" t="s">
        <v>3</v>
      </c>
    </row>
    <row r="319" spans="2:65" s="108" customFormat="1">
      <c r="B319" s="112"/>
      <c r="D319" s="96" t="s">
        <v>704</v>
      </c>
      <c r="E319" s="109" t="s">
        <v>6</v>
      </c>
      <c r="F319" s="115" t="s">
        <v>2</v>
      </c>
      <c r="H319" s="114">
        <v>1</v>
      </c>
      <c r="I319" s="113"/>
      <c r="L319" s="112"/>
      <c r="M319" s="111"/>
      <c r="T319" s="110"/>
      <c r="AT319" s="109" t="s">
        <v>704</v>
      </c>
      <c r="AU319" s="109" t="s">
        <v>365</v>
      </c>
      <c r="AV319" s="108" t="s">
        <v>365</v>
      </c>
      <c r="AW319" s="108" t="s">
        <v>703</v>
      </c>
      <c r="AX319" s="108" t="s">
        <v>2</v>
      </c>
      <c r="AY319" s="109" t="s">
        <v>3</v>
      </c>
    </row>
    <row r="320" spans="2:65" s="2" customFormat="1" ht="24.2" customHeight="1">
      <c r="B320" s="3"/>
      <c r="C320" s="20" t="s">
        <v>89</v>
      </c>
      <c r="D320" s="20" t="s">
        <v>4</v>
      </c>
      <c r="E320" s="19" t="s">
        <v>2381</v>
      </c>
      <c r="F320" s="14" t="s">
        <v>2380</v>
      </c>
      <c r="G320" s="18" t="s">
        <v>722</v>
      </c>
      <c r="H320" s="17">
        <v>1</v>
      </c>
      <c r="I320" s="16"/>
      <c r="J320" s="15">
        <f>ROUND(I320*H320,2)</f>
        <v>0</v>
      </c>
      <c r="K320" s="14" t="s">
        <v>654</v>
      </c>
      <c r="L320" s="3"/>
      <c r="M320" s="24" t="s">
        <v>6</v>
      </c>
      <c r="N320" s="23" t="s">
        <v>5</v>
      </c>
      <c r="P320" s="22">
        <f>O320*H320</f>
        <v>0</v>
      </c>
      <c r="Q320" s="22">
        <v>0</v>
      </c>
      <c r="R320" s="22">
        <f>Q320*H320</f>
        <v>0</v>
      </c>
      <c r="S320" s="22">
        <v>0</v>
      </c>
      <c r="T320" s="21">
        <f>S320*H320</f>
        <v>0</v>
      </c>
      <c r="AR320" s="6" t="s">
        <v>328</v>
      </c>
      <c r="AT320" s="6" t="s">
        <v>4</v>
      </c>
      <c r="AU320" s="6" t="s">
        <v>365</v>
      </c>
      <c r="AY320" s="7" t="s">
        <v>3</v>
      </c>
      <c r="BE320" s="8">
        <f>IF(N320="základní",J320,0)</f>
        <v>0</v>
      </c>
      <c r="BF320" s="8">
        <f>IF(N320="snížená",J320,0)</f>
        <v>0</v>
      </c>
      <c r="BG320" s="8">
        <f>IF(N320="zákl. přenesená",J320,0)</f>
        <v>0</v>
      </c>
      <c r="BH320" s="8">
        <f>IF(N320="sníž. přenesená",J320,0)</f>
        <v>0</v>
      </c>
      <c r="BI320" s="8">
        <f>IF(N320="nulová",J320,0)</f>
        <v>0</v>
      </c>
      <c r="BJ320" s="7" t="s">
        <v>2</v>
      </c>
      <c r="BK320" s="8">
        <f>ROUND(I320*H320,2)</f>
        <v>0</v>
      </c>
      <c r="BL320" s="7" t="s">
        <v>328</v>
      </c>
      <c r="BM320" s="6" t="s">
        <v>2379</v>
      </c>
    </row>
    <row r="321" spans="2:65" s="2" customFormat="1">
      <c r="B321" s="3"/>
      <c r="D321" s="107" t="s">
        <v>651</v>
      </c>
      <c r="F321" s="106" t="s">
        <v>2378</v>
      </c>
      <c r="I321" s="94"/>
      <c r="L321" s="3"/>
      <c r="M321" s="100"/>
      <c r="T321" s="99"/>
      <c r="AT321" s="7" t="s">
        <v>651</v>
      </c>
      <c r="AU321" s="7" t="s">
        <v>365</v>
      </c>
    </row>
    <row r="322" spans="2:65" s="269" customFormat="1">
      <c r="B322" s="273"/>
      <c r="D322" s="96" t="s">
        <v>704</v>
      </c>
      <c r="E322" s="270" t="s">
        <v>6</v>
      </c>
      <c r="F322" s="275" t="s">
        <v>2256</v>
      </c>
      <c r="H322" s="270" t="s">
        <v>6</v>
      </c>
      <c r="I322" s="274"/>
      <c r="L322" s="273"/>
      <c r="M322" s="272"/>
      <c r="T322" s="271"/>
      <c r="AT322" s="270" t="s">
        <v>704</v>
      </c>
      <c r="AU322" s="270" t="s">
        <v>365</v>
      </c>
      <c r="AV322" s="269" t="s">
        <v>2</v>
      </c>
      <c r="AW322" s="269" t="s">
        <v>703</v>
      </c>
      <c r="AX322" s="269" t="s">
        <v>25</v>
      </c>
      <c r="AY322" s="270" t="s">
        <v>3</v>
      </c>
    </row>
    <row r="323" spans="2:65" s="108" customFormat="1">
      <c r="B323" s="112"/>
      <c r="D323" s="96" t="s">
        <v>704</v>
      </c>
      <c r="E323" s="109" t="s">
        <v>6</v>
      </c>
      <c r="F323" s="115" t="s">
        <v>2</v>
      </c>
      <c r="H323" s="114">
        <v>1</v>
      </c>
      <c r="I323" s="113"/>
      <c r="L323" s="112"/>
      <c r="M323" s="111"/>
      <c r="T323" s="110"/>
      <c r="AT323" s="109" t="s">
        <v>704</v>
      </c>
      <c r="AU323" s="109" t="s">
        <v>365</v>
      </c>
      <c r="AV323" s="108" t="s">
        <v>365</v>
      </c>
      <c r="AW323" s="108" t="s">
        <v>703</v>
      </c>
      <c r="AX323" s="108" t="s">
        <v>2</v>
      </c>
      <c r="AY323" s="109" t="s">
        <v>3</v>
      </c>
    </row>
    <row r="324" spans="2:65" s="2" customFormat="1" ht="24.2" customHeight="1">
      <c r="B324" s="3"/>
      <c r="C324" s="125" t="s">
        <v>85</v>
      </c>
      <c r="D324" s="125" t="s">
        <v>750</v>
      </c>
      <c r="E324" s="124" t="s">
        <v>2377</v>
      </c>
      <c r="F324" s="119" t="s">
        <v>2376</v>
      </c>
      <c r="G324" s="123" t="s">
        <v>722</v>
      </c>
      <c r="H324" s="122">
        <v>1</v>
      </c>
      <c r="I324" s="121"/>
      <c r="J324" s="120">
        <f>ROUND(I324*H324,2)</f>
        <v>0</v>
      </c>
      <c r="K324" s="119" t="s">
        <v>7</v>
      </c>
      <c r="L324" s="118"/>
      <c r="M324" s="117" t="s">
        <v>6</v>
      </c>
      <c r="N324" s="116" t="s">
        <v>5</v>
      </c>
      <c r="P324" s="22">
        <f>O324*H324</f>
        <v>0</v>
      </c>
      <c r="Q324" s="22">
        <v>4.1000000000000003E-3</v>
      </c>
      <c r="R324" s="22">
        <f>Q324*H324</f>
        <v>4.1000000000000003E-3</v>
      </c>
      <c r="S324" s="22">
        <v>0</v>
      </c>
      <c r="T324" s="21">
        <f>S324*H324</f>
        <v>0</v>
      </c>
      <c r="AR324" s="6" t="s">
        <v>283</v>
      </c>
      <c r="AT324" s="6" t="s">
        <v>750</v>
      </c>
      <c r="AU324" s="6" t="s">
        <v>365</v>
      </c>
      <c r="AY324" s="7" t="s">
        <v>3</v>
      </c>
      <c r="BE324" s="8">
        <f>IF(N324="základní",J324,0)</f>
        <v>0</v>
      </c>
      <c r="BF324" s="8">
        <f>IF(N324="snížená",J324,0)</f>
        <v>0</v>
      </c>
      <c r="BG324" s="8">
        <f>IF(N324="zákl. přenesená",J324,0)</f>
        <v>0</v>
      </c>
      <c r="BH324" s="8">
        <f>IF(N324="sníž. přenesená",J324,0)</f>
        <v>0</v>
      </c>
      <c r="BI324" s="8">
        <f>IF(N324="nulová",J324,0)</f>
        <v>0</v>
      </c>
      <c r="BJ324" s="7" t="s">
        <v>2</v>
      </c>
      <c r="BK324" s="8">
        <f>ROUND(I324*H324,2)</f>
        <v>0</v>
      </c>
      <c r="BL324" s="7" t="s">
        <v>328</v>
      </c>
      <c r="BM324" s="6" t="s">
        <v>2375</v>
      </c>
    </row>
    <row r="325" spans="2:65" s="2" customFormat="1" ht="16.5" customHeight="1">
      <c r="B325" s="3"/>
      <c r="C325" s="125" t="s">
        <v>81</v>
      </c>
      <c r="D325" s="125" t="s">
        <v>750</v>
      </c>
      <c r="E325" s="124" t="s">
        <v>2374</v>
      </c>
      <c r="F325" s="119" t="s">
        <v>2373</v>
      </c>
      <c r="G325" s="123" t="s">
        <v>722</v>
      </c>
      <c r="H325" s="122">
        <v>2</v>
      </c>
      <c r="I325" s="121"/>
      <c r="J325" s="120">
        <f>ROUND(I325*H325,2)</f>
        <v>0</v>
      </c>
      <c r="K325" s="119" t="s">
        <v>7</v>
      </c>
      <c r="L325" s="118"/>
      <c r="M325" s="117" t="s">
        <v>6</v>
      </c>
      <c r="N325" s="116" t="s">
        <v>5</v>
      </c>
      <c r="P325" s="22">
        <f>O325*H325</f>
        <v>0</v>
      </c>
      <c r="Q325" s="22">
        <v>5.0000000000000002E-5</v>
      </c>
      <c r="R325" s="22">
        <f>Q325*H325</f>
        <v>1E-4</v>
      </c>
      <c r="S325" s="22">
        <v>0</v>
      </c>
      <c r="T325" s="21">
        <f>S325*H325</f>
        <v>0</v>
      </c>
      <c r="AR325" s="6" t="s">
        <v>283</v>
      </c>
      <c r="AT325" s="6" t="s">
        <v>750</v>
      </c>
      <c r="AU325" s="6" t="s">
        <v>365</v>
      </c>
      <c r="AY325" s="7" t="s">
        <v>3</v>
      </c>
      <c r="BE325" s="8">
        <f>IF(N325="základní",J325,0)</f>
        <v>0</v>
      </c>
      <c r="BF325" s="8">
        <f>IF(N325="snížená",J325,0)</f>
        <v>0</v>
      </c>
      <c r="BG325" s="8">
        <f>IF(N325="zákl. přenesená",J325,0)</f>
        <v>0</v>
      </c>
      <c r="BH325" s="8">
        <f>IF(N325="sníž. přenesená",J325,0)</f>
        <v>0</v>
      </c>
      <c r="BI325" s="8">
        <f>IF(N325="nulová",J325,0)</f>
        <v>0</v>
      </c>
      <c r="BJ325" s="7" t="s">
        <v>2</v>
      </c>
      <c r="BK325" s="8">
        <f>ROUND(I325*H325,2)</f>
        <v>0</v>
      </c>
      <c r="BL325" s="7" t="s">
        <v>328</v>
      </c>
      <c r="BM325" s="6" t="s">
        <v>2372</v>
      </c>
    </row>
    <row r="326" spans="2:65" s="2" customFormat="1" ht="16.5" customHeight="1">
      <c r="B326" s="3"/>
      <c r="C326" s="20" t="s">
        <v>77</v>
      </c>
      <c r="D326" s="20" t="s">
        <v>4</v>
      </c>
      <c r="E326" s="19" t="s">
        <v>2367</v>
      </c>
      <c r="F326" s="14" t="s">
        <v>2366</v>
      </c>
      <c r="G326" s="18" t="s">
        <v>722</v>
      </c>
      <c r="H326" s="17">
        <v>2</v>
      </c>
      <c r="I326" s="16"/>
      <c r="J326" s="15">
        <f>ROUND(I326*H326,2)</f>
        <v>0</v>
      </c>
      <c r="K326" s="14" t="s">
        <v>654</v>
      </c>
      <c r="L326" s="3"/>
      <c r="M326" s="24" t="s">
        <v>6</v>
      </c>
      <c r="N326" s="23" t="s">
        <v>5</v>
      </c>
      <c r="P326" s="22">
        <f>O326*H326</f>
        <v>0</v>
      </c>
      <c r="Q326" s="22">
        <v>0</v>
      </c>
      <c r="R326" s="22">
        <f>Q326*H326</f>
        <v>0</v>
      </c>
      <c r="S326" s="22">
        <v>0</v>
      </c>
      <c r="T326" s="21">
        <f>S326*H326</f>
        <v>0</v>
      </c>
      <c r="AR326" s="6" t="s">
        <v>328</v>
      </c>
      <c r="AT326" s="6" t="s">
        <v>4</v>
      </c>
      <c r="AU326" s="6" t="s">
        <v>365</v>
      </c>
      <c r="AY326" s="7" t="s">
        <v>3</v>
      </c>
      <c r="BE326" s="8">
        <f>IF(N326="základní",J326,0)</f>
        <v>0</v>
      </c>
      <c r="BF326" s="8">
        <f>IF(N326="snížená",J326,0)</f>
        <v>0</v>
      </c>
      <c r="BG326" s="8">
        <f>IF(N326="zákl. přenesená",J326,0)</f>
        <v>0</v>
      </c>
      <c r="BH326" s="8">
        <f>IF(N326="sníž. přenesená",J326,0)</f>
        <v>0</v>
      </c>
      <c r="BI326" s="8">
        <f>IF(N326="nulová",J326,0)</f>
        <v>0</v>
      </c>
      <c r="BJ326" s="7" t="s">
        <v>2</v>
      </c>
      <c r="BK326" s="8">
        <f>ROUND(I326*H326,2)</f>
        <v>0</v>
      </c>
      <c r="BL326" s="7" t="s">
        <v>328</v>
      </c>
      <c r="BM326" s="6" t="s">
        <v>2371</v>
      </c>
    </row>
    <row r="327" spans="2:65" s="2" customFormat="1">
      <c r="B327" s="3"/>
      <c r="D327" s="107" t="s">
        <v>651</v>
      </c>
      <c r="F327" s="106" t="s">
        <v>2364</v>
      </c>
      <c r="I327" s="94"/>
      <c r="L327" s="3"/>
      <c r="M327" s="100"/>
      <c r="T327" s="99"/>
      <c r="AT327" s="7" t="s">
        <v>651</v>
      </c>
      <c r="AU327" s="7" t="s">
        <v>365</v>
      </c>
    </row>
    <row r="328" spans="2:65" s="269" customFormat="1">
      <c r="B328" s="273"/>
      <c r="D328" s="96" t="s">
        <v>704</v>
      </c>
      <c r="E328" s="270" t="s">
        <v>6</v>
      </c>
      <c r="F328" s="275" t="s">
        <v>2256</v>
      </c>
      <c r="H328" s="270" t="s">
        <v>6</v>
      </c>
      <c r="I328" s="274"/>
      <c r="L328" s="273"/>
      <c r="M328" s="272"/>
      <c r="T328" s="271"/>
      <c r="AT328" s="270" t="s">
        <v>704</v>
      </c>
      <c r="AU328" s="270" t="s">
        <v>365</v>
      </c>
      <c r="AV328" s="269" t="s">
        <v>2</v>
      </c>
      <c r="AW328" s="269" t="s">
        <v>703</v>
      </c>
      <c r="AX328" s="269" t="s">
        <v>25</v>
      </c>
      <c r="AY328" s="270" t="s">
        <v>3</v>
      </c>
    </row>
    <row r="329" spans="2:65" s="108" customFormat="1">
      <c r="B329" s="112"/>
      <c r="D329" s="96" t="s">
        <v>704</v>
      </c>
      <c r="E329" s="109" t="s">
        <v>6</v>
      </c>
      <c r="F329" s="115" t="s">
        <v>365</v>
      </c>
      <c r="H329" s="114">
        <v>2</v>
      </c>
      <c r="I329" s="113"/>
      <c r="L329" s="112"/>
      <c r="M329" s="111"/>
      <c r="T329" s="110"/>
      <c r="AT329" s="109" t="s">
        <v>704</v>
      </c>
      <c r="AU329" s="109" t="s">
        <v>365</v>
      </c>
      <c r="AV329" s="108" t="s">
        <v>365</v>
      </c>
      <c r="AW329" s="108" t="s">
        <v>703</v>
      </c>
      <c r="AX329" s="108" t="s">
        <v>2</v>
      </c>
      <c r="AY329" s="109" t="s">
        <v>3</v>
      </c>
    </row>
    <row r="330" spans="2:65" s="2" customFormat="1" ht="44.25" customHeight="1">
      <c r="B330" s="3"/>
      <c r="C330" s="125" t="s">
        <v>73</v>
      </c>
      <c r="D330" s="125" t="s">
        <v>750</v>
      </c>
      <c r="E330" s="124" t="s">
        <v>2370</v>
      </c>
      <c r="F330" s="119" t="s">
        <v>2369</v>
      </c>
      <c r="G330" s="123" t="s">
        <v>722</v>
      </c>
      <c r="H330" s="122">
        <v>2</v>
      </c>
      <c r="I330" s="121"/>
      <c r="J330" s="120">
        <f>ROUND(I330*H330,2)</f>
        <v>0</v>
      </c>
      <c r="K330" s="119" t="s">
        <v>7</v>
      </c>
      <c r="L330" s="118"/>
      <c r="M330" s="117" t="s">
        <v>6</v>
      </c>
      <c r="N330" s="116" t="s">
        <v>5</v>
      </c>
      <c r="P330" s="22">
        <f>O330*H330</f>
        <v>0</v>
      </c>
      <c r="Q330" s="22">
        <v>6.5000000000000002E-2</v>
      </c>
      <c r="R330" s="22">
        <f>Q330*H330</f>
        <v>0.13</v>
      </c>
      <c r="S330" s="22">
        <v>0</v>
      </c>
      <c r="T330" s="21">
        <f>S330*H330</f>
        <v>0</v>
      </c>
      <c r="AR330" s="6" t="s">
        <v>283</v>
      </c>
      <c r="AT330" s="6" t="s">
        <v>750</v>
      </c>
      <c r="AU330" s="6" t="s">
        <v>365</v>
      </c>
      <c r="AY330" s="7" t="s">
        <v>3</v>
      </c>
      <c r="BE330" s="8">
        <f>IF(N330="základní",J330,0)</f>
        <v>0</v>
      </c>
      <c r="BF330" s="8">
        <f>IF(N330="snížená",J330,0)</f>
        <v>0</v>
      </c>
      <c r="BG330" s="8">
        <f>IF(N330="zákl. přenesená",J330,0)</f>
        <v>0</v>
      </c>
      <c r="BH330" s="8">
        <f>IF(N330="sníž. přenesená",J330,0)</f>
        <v>0</v>
      </c>
      <c r="BI330" s="8">
        <f>IF(N330="nulová",J330,0)</f>
        <v>0</v>
      </c>
      <c r="BJ330" s="7" t="s">
        <v>2</v>
      </c>
      <c r="BK330" s="8">
        <f>ROUND(I330*H330,2)</f>
        <v>0</v>
      </c>
      <c r="BL330" s="7" t="s">
        <v>328</v>
      </c>
      <c r="BM330" s="6" t="s">
        <v>2368</v>
      </c>
    </row>
    <row r="331" spans="2:65" s="2" customFormat="1" ht="16.5" customHeight="1">
      <c r="B331" s="3"/>
      <c r="C331" s="20" t="s">
        <v>69</v>
      </c>
      <c r="D331" s="20" t="s">
        <v>4</v>
      </c>
      <c r="E331" s="19" t="s">
        <v>2367</v>
      </c>
      <c r="F331" s="14" t="s">
        <v>2366</v>
      </c>
      <c r="G331" s="18" t="s">
        <v>722</v>
      </c>
      <c r="H331" s="17">
        <v>4</v>
      </c>
      <c r="I331" s="16"/>
      <c r="J331" s="15">
        <f>ROUND(I331*H331,2)</f>
        <v>0</v>
      </c>
      <c r="K331" s="14" t="s">
        <v>654</v>
      </c>
      <c r="L331" s="3"/>
      <c r="M331" s="24" t="s">
        <v>6</v>
      </c>
      <c r="N331" s="23" t="s">
        <v>5</v>
      </c>
      <c r="P331" s="22">
        <f>O331*H331</f>
        <v>0</v>
      </c>
      <c r="Q331" s="22">
        <v>0</v>
      </c>
      <c r="R331" s="22">
        <f>Q331*H331</f>
        <v>0</v>
      </c>
      <c r="S331" s="22">
        <v>0</v>
      </c>
      <c r="T331" s="21">
        <f>S331*H331</f>
        <v>0</v>
      </c>
      <c r="AR331" s="6" t="s">
        <v>328</v>
      </c>
      <c r="AT331" s="6" t="s">
        <v>4</v>
      </c>
      <c r="AU331" s="6" t="s">
        <v>365</v>
      </c>
      <c r="AY331" s="7" t="s">
        <v>3</v>
      </c>
      <c r="BE331" s="8">
        <f>IF(N331="základní",J331,0)</f>
        <v>0</v>
      </c>
      <c r="BF331" s="8">
        <f>IF(N331="snížená",J331,0)</f>
        <v>0</v>
      </c>
      <c r="BG331" s="8">
        <f>IF(N331="zákl. přenesená",J331,0)</f>
        <v>0</v>
      </c>
      <c r="BH331" s="8">
        <f>IF(N331="sníž. přenesená",J331,0)</f>
        <v>0</v>
      </c>
      <c r="BI331" s="8">
        <f>IF(N331="nulová",J331,0)</f>
        <v>0</v>
      </c>
      <c r="BJ331" s="7" t="s">
        <v>2</v>
      </c>
      <c r="BK331" s="8">
        <f>ROUND(I331*H331,2)</f>
        <v>0</v>
      </c>
      <c r="BL331" s="7" t="s">
        <v>328</v>
      </c>
      <c r="BM331" s="6" t="s">
        <v>2365</v>
      </c>
    </row>
    <row r="332" spans="2:65" s="2" customFormat="1">
      <c r="B332" s="3"/>
      <c r="D332" s="107" t="s">
        <v>651</v>
      </c>
      <c r="F332" s="106" t="s">
        <v>2364</v>
      </c>
      <c r="I332" s="94"/>
      <c r="L332" s="3"/>
      <c r="M332" s="100"/>
      <c r="T332" s="99"/>
      <c r="AT332" s="7" t="s">
        <v>651</v>
      </c>
      <c r="AU332" s="7" t="s">
        <v>365</v>
      </c>
    </row>
    <row r="333" spans="2:65" s="269" customFormat="1">
      <c r="B333" s="273"/>
      <c r="D333" s="96" t="s">
        <v>704</v>
      </c>
      <c r="E333" s="270" t="s">
        <v>6</v>
      </c>
      <c r="F333" s="275" t="s">
        <v>2256</v>
      </c>
      <c r="H333" s="270" t="s">
        <v>6</v>
      </c>
      <c r="I333" s="274"/>
      <c r="L333" s="273"/>
      <c r="M333" s="272"/>
      <c r="T333" s="271"/>
      <c r="AT333" s="270" t="s">
        <v>704</v>
      </c>
      <c r="AU333" s="270" t="s">
        <v>365</v>
      </c>
      <c r="AV333" s="269" t="s">
        <v>2</v>
      </c>
      <c r="AW333" s="269" t="s">
        <v>703</v>
      </c>
      <c r="AX333" s="269" t="s">
        <v>25</v>
      </c>
      <c r="AY333" s="270" t="s">
        <v>3</v>
      </c>
    </row>
    <row r="334" spans="2:65" s="108" customFormat="1">
      <c r="B334" s="112"/>
      <c r="D334" s="96" t="s">
        <v>704</v>
      </c>
      <c r="E334" s="109" t="s">
        <v>6</v>
      </c>
      <c r="F334" s="115" t="s">
        <v>1</v>
      </c>
      <c r="H334" s="114">
        <v>4</v>
      </c>
      <c r="I334" s="113"/>
      <c r="L334" s="112"/>
      <c r="M334" s="111"/>
      <c r="T334" s="110"/>
      <c r="AT334" s="109" t="s">
        <v>704</v>
      </c>
      <c r="AU334" s="109" t="s">
        <v>365</v>
      </c>
      <c r="AV334" s="108" t="s">
        <v>365</v>
      </c>
      <c r="AW334" s="108" t="s">
        <v>703</v>
      </c>
      <c r="AX334" s="108" t="s">
        <v>2</v>
      </c>
      <c r="AY334" s="109" t="s">
        <v>3</v>
      </c>
    </row>
    <row r="335" spans="2:65" s="2" customFormat="1" ht="55.5" customHeight="1">
      <c r="B335" s="3"/>
      <c r="C335" s="125" t="s">
        <v>65</v>
      </c>
      <c r="D335" s="125" t="s">
        <v>750</v>
      </c>
      <c r="E335" s="124" t="s">
        <v>2363</v>
      </c>
      <c r="F335" s="119" t="s">
        <v>2362</v>
      </c>
      <c r="G335" s="123" t="s">
        <v>722</v>
      </c>
      <c r="H335" s="122">
        <v>4</v>
      </c>
      <c r="I335" s="121"/>
      <c r="J335" s="120">
        <f>ROUND(I335*H335,2)</f>
        <v>0</v>
      </c>
      <c r="K335" s="119" t="s">
        <v>7</v>
      </c>
      <c r="L335" s="118"/>
      <c r="M335" s="117" t="s">
        <v>6</v>
      </c>
      <c r="N335" s="116" t="s">
        <v>5</v>
      </c>
      <c r="P335" s="22">
        <f>O335*H335</f>
        <v>0</v>
      </c>
      <c r="Q335" s="22">
        <v>6.5000000000000002E-2</v>
      </c>
      <c r="R335" s="22">
        <f>Q335*H335</f>
        <v>0.26</v>
      </c>
      <c r="S335" s="22">
        <v>0</v>
      </c>
      <c r="T335" s="21">
        <f>S335*H335</f>
        <v>0</v>
      </c>
      <c r="AR335" s="6" t="s">
        <v>283</v>
      </c>
      <c r="AT335" s="6" t="s">
        <v>750</v>
      </c>
      <c r="AU335" s="6" t="s">
        <v>365</v>
      </c>
      <c r="AY335" s="7" t="s">
        <v>3</v>
      </c>
      <c r="BE335" s="8">
        <f>IF(N335="základní",J335,0)</f>
        <v>0</v>
      </c>
      <c r="BF335" s="8">
        <f>IF(N335="snížená",J335,0)</f>
        <v>0</v>
      </c>
      <c r="BG335" s="8">
        <f>IF(N335="zákl. přenesená",J335,0)</f>
        <v>0</v>
      </c>
      <c r="BH335" s="8">
        <f>IF(N335="sníž. přenesená",J335,0)</f>
        <v>0</v>
      </c>
      <c r="BI335" s="8">
        <f>IF(N335="nulová",J335,0)</f>
        <v>0</v>
      </c>
      <c r="BJ335" s="7" t="s">
        <v>2</v>
      </c>
      <c r="BK335" s="8">
        <f>ROUND(I335*H335,2)</f>
        <v>0</v>
      </c>
      <c r="BL335" s="7" t="s">
        <v>328</v>
      </c>
      <c r="BM335" s="6" t="s">
        <v>2361</v>
      </c>
    </row>
    <row r="336" spans="2:65" s="2" customFormat="1" ht="16.5" customHeight="1">
      <c r="B336" s="3"/>
      <c r="C336" s="20" t="s">
        <v>61</v>
      </c>
      <c r="D336" s="20" t="s">
        <v>4</v>
      </c>
      <c r="E336" s="19" t="s">
        <v>2360</v>
      </c>
      <c r="F336" s="14" t="s">
        <v>2359</v>
      </c>
      <c r="G336" s="18" t="s">
        <v>722</v>
      </c>
      <c r="H336" s="17">
        <v>1</v>
      </c>
      <c r="I336" s="16"/>
      <c r="J336" s="15">
        <f>ROUND(I336*H336,2)</f>
        <v>0</v>
      </c>
      <c r="K336" s="14" t="s">
        <v>654</v>
      </c>
      <c r="L336" s="3"/>
      <c r="M336" s="24" t="s">
        <v>6</v>
      </c>
      <c r="N336" s="23" t="s">
        <v>5</v>
      </c>
      <c r="P336" s="22">
        <f>O336*H336</f>
        <v>0</v>
      </c>
      <c r="Q336" s="22">
        <v>0</v>
      </c>
      <c r="R336" s="22">
        <f>Q336*H336</f>
        <v>0</v>
      </c>
      <c r="S336" s="22">
        <v>0</v>
      </c>
      <c r="T336" s="21">
        <f>S336*H336</f>
        <v>0</v>
      </c>
      <c r="AR336" s="6" t="s">
        <v>328</v>
      </c>
      <c r="AT336" s="6" t="s">
        <v>4</v>
      </c>
      <c r="AU336" s="6" t="s">
        <v>365</v>
      </c>
      <c r="AY336" s="7" t="s">
        <v>3</v>
      </c>
      <c r="BE336" s="8">
        <f>IF(N336="základní",J336,0)</f>
        <v>0</v>
      </c>
      <c r="BF336" s="8">
        <f>IF(N336="snížená",J336,0)</f>
        <v>0</v>
      </c>
      <c r="BG336" s="8">
        <f>IF(N336="zákl. přenesená",J336,0)</f>
        <v>0</v>
      </c>
      <c r="BH336" s="8">
        <f>IF(N336="sníž. přenesená",J336,0)</f>
        <v>0</v>
      </c>
      <c r="BI336" s="8">
        <f>IF(N336="nulová",J336,0)</f>
        <v>0</v>
      </c>
      <c r="BJ336" s="7" t="s">
        <v>2</v>
      </c>
      <c r="BK336" s="8">
        <f>ROUND(I336*H336,2)</f>
        <v>0</v>
      </c>
      <c r="BL336" s="7" t="s">
        <v>328</v>
      </c>
      <c r="BM336" s="6" t="s">
        <v>2358</v>
      </c>
    </row>
    <row r="337" spans="2:65" s="2" customFormat="1">
      <c r="B337" s="3"/>
      <c r="D337" s="107" t="s">
        <v>651</v>
      </c>
      <c r="F337" s="106" t="s">
        <v>2357</v>
      </c>
      <c r="I337" s="94"/>
      <c r="L337" s="3"/>
      <c r="M337" s="100"/>
      <c r="T337" s="99"/>
      <c r="AT337" s="7" t="s">
        <v>651</v>
      </c>
      <c r="AU337" s="7" t="s">
        <v>365</v>
      </c>
    </row>
    <row r="338" spans="2:65" s="269" customFormat="1">
      <c r="B338" s="273"/>
      <c r="D338" s="96" t="s">
        <v>704</v>
      </c>
      <c r="E338" s="270" t="s">
        <v>6</v>
      </c>
      <c r="F338" s="275" t="s">
        <v>2256</v>
      </c>
      <c r="H338" s="270" t="s">
        <v>6</v>
      </c>
      <c r="I338" s="274"/>
      <c r="L338" s="273"/>
      <c r="M338" s="272"/>
      <c r="T338" s="271"/>
      <c r="AT338" s="270" t="s">
        <v>704</v>
      </c>
      <c r="AU338" s="270" t="s">
        <v>365</v>
      </c>
      <c r="AV338" s="269" t="s">
        <v>2</v>
      </c>
      <c r="AW338" s="269" t="s">
        <v>703</v>
      </c>
      <c r="AX338" s="269" t="s">
        <v>25</v>
      </c>
      <c r="AY338" s="270" t="s">
        <v>3</v>
      </c>
    </row>
    <row r="339" spans="2:65" s="108" customFormat="1">
      <c r="B339" s="112"/>
      <c r="D339" s="96" t="s">
        <v>704</v>
      </c>
      <c r="E339" s="109" t="s">
        <v>6</v>
      </c>
      <c r="F339" s="115" t="s">
        <v>2</v>
      </c>
      <c r="H339" s="114">
        <v>1</v>
      </c>
      <c r="I339" s="113"/>
      <c r="L339" s="112"/>
      <c r="M339" s="111"/>
      <c r="T339" s="110"/>
      <c r="AT339" s="109" t="s">
        <v>704</v>
      </c>
      <c r="AU339" s="109" t="s">
        <v>365</v>
      </c>
      <c r="AV339" s="108" t="s">
        <v>365</v>
      </c>
      <c r="AW339" s="108" t="s">
        <v>703</v>
      </c>
      <c r="AX339" s="108" t="s">
        <v>2</v>
      </c>
      <c r="AY339" s="109" t="s">
        <v>3</v>
      </c>
    </row>
    <row r="340" spans="2:65" s="2" customFormat="1" ht="21.75" customHeight="1">
      <c r="B340" s="3"/>
      <c r="C340" s="125" t="s">
        <v>57</v>
      </c>
      <c r="D340" s="125" t="s">
        <v>750</v>
      </c>
      <c r="E340" s="124" t="s">
        <v>2356</v>
      </c>
      <c r="F340" s="119" t="s">
        <v>2355</v>
      </c>
      <c r="G340" s="123" t="s">
        <v>722</v>
      </c>
      <c r="H340" s="122">
        <v>1</v>
      </c>
      <c r="I340" s="121"/>
      <c r="J340" s="120">
        <f>ROUND(I340*H340,2)</f>
        <v>0</v>
      </c>
      <c r="K340" s="119" t="s">
        <v>7</v>
      </c>
      <c r="L340" s="118"/>
      <c r="M340" s="117" t="s">
        <v>6</v>
      </c>
      <c r="N340" s="116" t="s">
        <v>5</v>
      </c>
      <c r="P340" s="22">
        <f>O340*H340</f>
        <v>0</v>
      </c>
      <c r="Q340" s="22">
        <v>4.0000000000000001E-3</v>
      </c>
      <c r="R340" s="22">
        <f>Q340*H340</f>
        <v>4.0000000000000001E-3</v>
      </c>
      <c r="S340" s="22">
        <v>0</v>
      </c>
      <c r="T340" s="21">
        <f>S340*H340</f>
        <v>0</v>
      </c>
      <c r="AR340" s="6" t="s">
        <v>283</v>
      </c>
      <c r="AT340" s="6" t="s">
        <v>750</v>
      </c>
      <c r="AU340" s="6" t="s">
        <v>365</v>
      </c>
      <c r="AY340" s="7" t="s">
        <v>3</v>
      </c>
      <c r="BE340" s="8">
        <f>IF(N340="základní",J340,0)</f>
        <v>0</v>
      </c>
      <c r="BF340" s="8">
        <f>IF(N340="snížená",J340,0)</f>
        <v>0</v>
      </c>
      <c r="BG340" s="8">
        <f>IF(N340="zákl. přenesená",J340,0)</f>
        <v>0</v>
      </c>
      <c r="BH340" s="8">
        <f>IF(N340="sníž. přenesená",J340,0)</f>
        <v>0</v>
      </c>
      <c r="BI340" s="8">
        <f>IF(N340="nulová",J340,0)</f>
        <v>0</v>
      </c>
      <c r="BJ340" s="7" t="s">
        <v>2</v>
      </c>
      <c r="BK340" s="8">
        <f>ROUND(I340*H340,2)</f>
        <v>0</v>
      </c>
      <c r="BL340" s="7" t="s">
        <v>328</v>
      </c>
      <c r="BM340" s="6" t="s">
        <v>2354</v>
      </c>
    </row>
    <row r="341" spans="2:65" s="2" customFormat="1" ht="24.2" customHeight="1">
      <c r="B341" s="3"/>
      <c r="C341" s="20" t="s">
        <v>51</v>
      </c>
      <c r="D341" s="20" t="s">
        <v>4</v>
      </c>
      <c r="E341" s="19" t="s">
        <v>2353</v>
      </c>
      <c r="F341" s="14" t="s">
        <v>2352</v>
      </c>
      <c r="G341" s="18" t="s">
        <v>722</v>
      </c>
      <c r="H341" s="17">
        <v>1</v>
      </c>
      <c r="I341" s="16"/>
      <c r="J341" s="15">
        <f>ROUND(I341*H341,2)</f>
        <v>0</v>
      </c>
      <c r="K341" s="14" t="s">
        <v>654</v>
      </c>
      <c r="L341" s="3"/>
      <c r="M341" s="24" t="s">
        <v>6</v>
      </c>
      <c r="N341" s="23" t="s">
        <v>5</v>
      </c>
      <c r="P341" s="22">
        <f>O341*H341</f>
        <v>0</v>
      </c>
      <c r="Q341" s="22">
        <v>0</v>
      </c>
      <c r="R341" s="22">
        <f>Q341*H341</f>
        <v>0</v>
      </c>
      <c r="S341" s="22">
        <v>0</v>
      </c>
      <c r="T341" s="21">
        <f>S341*H341</f>
        <v>0</v>
      </c>
      <c r="AR341" s="6" t="s">
        <v>328</v>
      </c>
      <c r="AT341" s="6" t="s">
        <v>4</v>
      </c>
      <c r="AU341" s="6" t="s">
        <v>365</v>
      </c>
      <c r="AY341" s="7" t="s">
        <v>3</v>
      </c>
      <c r="BE341" s="8">
        <f>IF(N341="základní",J341,0)</f>
        <v>0</v>
      </c>
      <c r="BF341" s="8">
        <f>IF(N341="snížená",J341,0)</f>
        <v>0</v>
      </c>
      <c r="BG341" s="8">
        <f>IF(N341="zákl. přenesená",J341,0)</f>
        <v>0</v>
      </c>
      <c r="BH341" s="8">
        <f>IF(N341="sníž. přenesená",J341,0)</f>
        <v>0</v>
      </c>
      <c r="BI341" s="8">
        <f>IF(N341="nulová",J341,0)</f>
        <v>0</v>
      </c>
      <c r="BJ341" s="7" t="s">
        <v>2</v>
      </c>
      <c r="BK341" s="8">
        <f>ROUND(I341*H341,2)</f>
        <v>0</v>
      </c>
      <c r="BL341" s="7" t="s">
        <v>328</v>
      </c>
      <c r="BM341" s="6" t="s">
        <v>2351</v>
      </c>
    </row>
    <row r="342" spans="2:65" s="2" customFormat="1">
      <c r="B342" s="3"/>
      <c r="D342" s="107" t="s">
        <v>651</v>
      </c>
      <c r="F342" s="106" t="s">
        <v>2350</v>
      </c>
      <c r="I342" s="94"/>
      <c r="L342" s="3"/>
      <c r="M342" s="100"/>
      <c r="T342" s="99"/>
      <c r="AT342" s="7" t="s">
        <v>651</v>
      </c>
      <c r="AU342" s="7" t="s">
        <v>365</v>
      </c>
    </row>
    <row r="343" spans="2:65" s="269" customFormat="1">
      <c r="B343" s="273"/>
      <c r="D343" s="96" t="s">
        <v>704</v>
      </c>
      <c r="E343" s="270" t="s">
        <v>6</v>
      </c>
      <c r="F343" s="275" t="s">
        <v>2256</v>
      </c>
      <c r="H343" s="270" t="s">
        <v>6</v>
      </c>
      <c r="I343" s="274"/>
      <c r="L343" s="273"/>
      <c r="M343" s="272"/>
      <c r="T343" s="271"/>
      <c r="AT343" s="270" t="s">
        <v>704</v>
      </c>
      <c r="AU343" s="270" t="s">
        <v>365</v>
      </c>
      <c r="AV343" s="269" t="s">
        <v>2</v>
      </c>
      <c r="AW343" s="269" t="s">
        <v>703</v>
      </c>
      <c r="AX343" s="269" t="s">
        <v>25</v>
      </c>
      <c r="AY343" s="270" t="s">
        <v>3</v>
      </c>
    </row>
    <row r="344" spans="2:65" s="108" customFormat="1">
      <c r="B344" s="112"/>
      <c r="D344" s="96" t="s">
        <v>704</v>
      </c>
      <c r="E344" s="109" t="s">
        <v>6</v>
      </c>
      <c r="F344" s="115" t="s">
        <v>2</v>
      </c>
      <c r="H344" s="114">
        <v>1</v>
      </c>
      <c r="I344" s="113"/>
      <c r="L344" s="112"/>
      <c r="M344" s="111"/>
      <c r="T344" s="110"/>
      <c r="AT344" s="109" t="s">
        <v>704</v>
      </c>
      <c r="AU344" s="109" t="s">
        <v>365</v>
      </c>
      <c r="AV344" s="108" t="s">
        <v>365</v>
      </c>
      <c r="AW344" s="108" t="s">
        <v>703</v>
      </c>
      <c r="AX344" s="108" t="s">
        <v>2</v>
      </c>
      <c r="AY344" s="109" t="s">
        <v>3</v>
      </c>
    </row>
    <row r="345" spans="2:65" s="2" customFormat="1" ht="16.5" customHeight="1">
      <c r="B345" s="3"/>
      <c r="C345" s="125" t="s">
        <v>47</v>
      </c>
      <c r="D345" s="125" t="s">
        <v>750</v>
      </c>
      <c r="E345" s="124" t="s">
        <v>2349</v>
      </c>
      <c r="F345" s="119" t="s">
        <v>2348</v>
      </c>
      <c r="G345" s="123" t="s">
        <v>722</v>
      </c>
      <c r="H345" s="122">
        <v>1</v>
      </c>
      <c r="I345" s="121"/>
      <c r="J345" s="120">
        <f>ROUND(I345*H345,2)</f>
        <v>0</v>
      </c>
      <c r="K345" s="119" t="s">
        <v>7</v>
      </c>
      <c r="L345" s="118"/>
      <c r="M345" s="117" t="s">
        <v>6</v>
      </c>
      <c r="N345" s="116" t="s">
        <v>5</v>
      </c>
      <c r="P345" s="22">
        <f>O345*H345</f>
        <v>0</v>
      </c>
      <c r="Q345" s="22">
        <v>6.0000000000000001E-3</v>
      </c>
      <c r="R345" s="22">
        <f>Q345*H345</f>
        <v>6.0000000000000001E-3</v>
      </c>
      <c r="S345" s="22">
        <v>0</v>
      </c>
      <c r="T345" s="21">
        <f>S345*H345</f>
        <v>0</v>
      </c>
      <c r="AR345" s="6" t="s">
        <v>283</v>
      </c>
      <c r="AT345" s="6" t="s">
        <v>750</v>
      </c>
      <c r="AU345" s="6" t="s">
        <v>365</v>
      </c>
      <c r="AY345" s="7" t="s">
        <v>3</v>
      </c>
      <c r="BE345" s="8">
        <f>IF(N345="základní",J345,0)</f>
        <v>0</v>
      </c>
      <c r="BF345" s="8">
        <f>IF(N345="snížená",J345,0)</f>
        <v>0</v>
      </c>
      <c r="BG345" s="8">
        <f>IF(N345="zákl. přenesená",J345,0)</f>
        <v>0</v>
      </c>
      <c r="BH345" s="8">
        <f>IF(N345="sníž. přenesená",J345,0)</f>
        <v>0</v>
      </c>
      <c r="BI345" s="8">
        <f>IF(N345="nulová",J345,0)</f>
        <v>0</v>
      </c>
      <c r="BJ345" s="7" t="s">
        <v>2</v>
      </c>
      <c r="BK345" s="8">
        <f>ROUND(I345*H345,2)</f>
        <v>0</v>
      </c>
      <c r="BL345" s="7" t="s">
        <v>328</v>
      </c>
      <c r="BM345" s="6" t="s">
        <v>2347</v>
      </c>
    </row>
    <row r="346" spans="2:65" s="2" customFormat="1" ht="24.2" customHeight="1">
      <c r="B346" s="3"/>
      <c r="C346" s="20" t="s">
        <v>43</v>
      </c>
      <c r="D346" s="20" t="s">
        <v>4</v>
      </c>
      <c r="E346" s="19" t="s">
        <v>2342</v>
      </c>
      <c r="F346" s="14" t="s">
        <v>2341</v>
      </c>
      <c r="G346" s="18" t="s">
        <v>722</v>
      </c>
      <c r="H346" s="17">
        <v>1</v>
      </c>
      <c r="I346" s="16"/>
      <c r="J346" s="15">
        <f>ROUND(I346*H346,2)</f>
        <v>0</v>
      </c>
      <c r="K346" s="14" t="s">
        <v>654</v>
      </c>
      <c r="L346" s="3"/>
      <c r="M346" s="24" t="s">
        <v>6</v>
      </c>
      <c r="N346" s="23" t="s">
        <v>5</v>
      </c>
      <c r="P346" s="22">
        <f>O346*H346</f>
        <v>0</v>
      </c>
      <c r="Q346" s="22">
        <v>0</v>
      </c>
      <c r="R346" s="22">
        <f>Q346*H346</f>
        <v>0</v>
      </c>
      <c r="S346" s="22">
        <v>0</v>
      </c>
      <c r="T346" s="21">
        <f>S346*H346</f>
        <v>0</v>
      </c>
      <c r="AR346" s="6" t="s">
        <v>328</v>
      </c>
      <c r="AT346" s="6" t="s">
        <v>4</v>
      </c>
      <c r="AU346" s="6" t="s">
        <v>365</v>
      </c>
      <c r="AY346" s="7" t="s">
        <v>3</v>
      </c>
      <c r="BE346" s="8">
        <f>IF(N346="základní",J346,0)</f>
        <v>0</v>
      </c>
      <c r="BF346" s="8">
        <f>IF(N346="snížená",J346,0)</f>
        <v>0</v>
      </c>
      <c r="BG346" s="8">
        <f>IF(N346="zákl. přenesená",J346,0)</f>
        <v>0</v>
      </c>
      <c r="BH346" s="8">
        <f>IF(N346="sníž. přenesená",J346,0)</f>
        <v>0</v>
      </c>
      <c r="BI346" s="8">
        <f>IF(N346="nulová",J346,0)</f>
        <v>0</v>
      </c>
      <c r="BJ346" s="7" t="s">
        <v>2</v>
      </c>
      <c r="BK346" s="8">
        <f>ROUND(I346*H346,2)</f>
        <v>0</v>
      </c>
      <c r="BL346" s="7" t="s">
        <v>328</v>
      </c>
      <c r="BM346" s="6" t="s">
        <v>2346</v>
      </c>
    </row>
    <row r="347" spans="2:65" s="2" customFormat="1">
      <c r="B347" s="3"/>
      <c r="D347" s="107" t="s">
        <v>651</v>
      </c>
      <c r="F347" s="106" t="s">
        <v>2339</v>
      </c>
      <c r="I347" s="94"/>
      <c r="L347" s="3"/>
      <c r="M347" s="100"/>
      <c r="T347" s="99"/>
      <c r="AT347" s="7" t="s">
        <v>651</v>
      </c>
      <c r="AU347" s="7" t="s">
        <v>365</v>
      </c>
    </row>
    <row r="348" spans="2:65" s="269" customFormat="1">
      <c r="B348" s="273"/>
      <c r="D348" s="96" t="s">
        <v>704</v>
      </c>
      <c r="E348" s="270" t="s">
        <v>6</v>
      </c>
      <c r="F348" s="275" t="s">
        <v>2256</v>
      </c>
      <c r="H348" s="270" t="s">
        <v>6</v>
      </c>
      <c r="I348" s="274"/>
      <c r="L348" s="273"/>
      <c r="M348" s="272"/>
      <c r="T348" s="271"/>
      <c r="AT348" s="270" t="s">
        <v>704</v>
      </c>
      <c r="AU348" s="270" t="s">
        <v>365</v>
      </c>
      <c r="AV348" s="269" t="s">
        <v>2</v>
      </c>
      <c r="AW348" s="269" t="s">
        <v>703</v>
      </c>
      <c r="AX348" s="269" t="s">
        <v>25</v>
      </c>
      <c r="AY348" s="270" t="s">
        <v>3</v>
      </c>
    </row>
    <row r="349" spans="2:65" s="108" customFormat="1">
      <c r="B349" s="112"/>
      <c r="D349" s="96" t="s">
        <v>704</v>
      </c>
      <c r="E349" s="109" t="s">
        <v>6</v>
      </c>
      <c r="F349" s="115" t="s">
        <v>2</v>
      </c>
      <c r="H349" s="114">
        <v>1</v>
      </c>
      <c r="I349" s="113"/>
      <c r="L349" s="112"/>
      <c r="M349" s="111"/>
      <c r="T349" s="110"/>
      <c r="AT349" s="109" t="s">
        <v>704</v>
      </c>
      <c r="AU349" s="109" t="s">
        <v>365</v>
      </c>
      <c r="AV349" s="108" t="s">
        <v>365</v>
      </c>
      <c r="AW349" s="108" t="s">
        <v>703</v>
      </c>
      <c r="AX349" s="108" t="s">
        <v>2</v>
      </c>
      <c r="AY349" s="109" t="s">
        <v>3</v>
      </c>
    </row>
    <row r="350" spans="2:65" s="2" customFormat="1" ht="16.5" customHeight="1">
      <c r="B350" s="3"/>
      <c r="C350" s="125" t="s">
        <v>40</v>
      </c>
      <c r="D350" s="125" t="s">
        <v>750</v>
      </c>
      <c r="E350" s="124" t="s">
        <v>2345</v>
      </c>
      <c r="F350" s="119" t="s">
        <v>2344</v>
      </c>
      <c r="G350" s="123" t="s">
        <v>722</v>
      </c>
      <c r="H350" s="122">
        <v>1</v>
      </c>
      <c r="I350" s="121"/>
      <c r="J350" s="120">
        <f>ROUND(I350*H350,2)</f>
        <v>0</v>
      </c>
      <c r="K350" s="119" t="s">
        <v>7</v>
      </c>
      <c r="L350" s="118"/>
      <c r="M350" s="117" t="s">
        <v>6</v>
      </c>
      <c r="N350" s="116" t="s">
        <v>5</v>
      </c>
      <c r="P350" s="22">
        <f>O350*H350</f>
        <v>0</v>
      </c>
      <c r="Q350" s="22">
        <v>7.7999999999999996E-3</v>
      </c>
      <c r="R350" s="22">
        <f>Q350*H350</f>
        <v>7.7999999999999996E-3</v>
      </c>
      <c r="S350" s="22">
        <v>0</v>
      </c>
      <c r="T350" s="21">
        <f>S350*H350</f>
        <v>0</v>
      </c>
      <c r="AR350" s="6" t="s">
        <v>283</v>
      </c>
      <c r="AT350" s="6" t="s">
        <v>750</v>
      </c>
      <c r="AU350" s="6" t="s">
        <v>365</v>
      </c>
      <c r="AY350" s="7" t="s">
        <v>3</v>
      </c>
      <c r="BE350" s="8">
        <f>IF(N350="základní",J350,0)</f>
        <v>0</v>
      </c>
      <c r="BF350" s="8">
        <f>IF(N350="snížená",J350,0)</f>
        <v>0</v>
      </c>
      <c r="BG350" s="8">
        <f>IF(N350="zákl. přenesená",J350,0)</f>
        <v>0</v>
      </c>
      <c r="BH350" s="8">
        <f>IF(N350="sníž. přenesená",J350,0)</f>
        <v>0</v>
      </c>
      <c r="BI350" s="8">
        <f>IF(N350="nulová",J350,0)</f>
        <v>0</v>
      </c>
      <c r="BJ350" s="7" t="s">
        <v>2</v>
      </c>
      <c r="BK350" s="8">
        <f>ROUND(I350*H350,2)</f>
        <v>0</v>
      </c>
      <c r="BL350" s="7" t="s">
        <v>328</v>
      </c>
      <c r="BM350" s="6" t="s">
        <v>2343</v>
      </c>
    </row>
    <row r="351" spans="2:65" s="2" customFormat="1" ht="24.2" customHeight="1">
      <c r="B351" s="3"/>
      <c r="C351" s="20" t="s">
        <v>37</v>
      </c>
      <c r="D351" s="20" t="s">
        <v>4</v>
      </c>
      <c r="E351" s="19" t="s">
        <v>2342</v>
      </c>
      <c r="F351" s="14" t="s">
        <v>2341</v>
      </c>
      <c r="G351" s="18" t="s">
        <v>722</v>
      </c>
      <c r="H351" s="17">
        <v>1</v>
      </c>
      <c r="I351" s="16"/>
      <c r="J351" s="15">
        <f>ROUND(I351*H351,2)</f>
        <v>0</v>
      </c>
      <c r="K351" s="14" t="s">
        <v>654</v>
      </c>
      <c r="L351" s="3"/>
      <c r="M351" s="24" t="s">
        <v>6</v>
      </c>
      <c r="N351" s="23" t="s">
        <v>5</v>
      </c>
      <c r="P351" s="22">
        <f>O351*H351</f>
        <v>0</v>
      </c>
      <c r="Q351" s="22">
        <v>0</v>
      </c>
      <c r="R351" s="22">
        <f>Q351*H351</f>
        <v>0</v>
      </c>
      <c r="S351" s="22">
        <v>0</v>
      </c>
      <c r="T351" s="21">
        <f>S351*H351</f>
        <v>0</v>
      </c>
      <c r="AR351" s="6" t="s">
        <v>328</v>
      </c>
      <c r="AT351" s="6" t="s">
        <v>4</v>
      </c>
      <c r="AU351" s="6" t="s">
        <v>365</v>
      </c>
      <c r="AY351" s="7" t="s">
        <v>3</v>
      </c>
      <c r="BE351" s="8">
        <f>IF(N351="základní",J351,0)</f>
        <v>0</v>
      </c>
      <c r="BF351" s="8">
        <f>IF(N351="snížená",J351,0)</f>
        <v>0</v>
      </c>
      <c r="BG351" s="8">
        <f>IF(N351="zákl. přenesená",J351,0)</f>
        <v>0</v>
      </c>
      <c r="BH351" s="8">
        <f>IF(N351="sníž. přenesená",J351,0)</f>
        <v>0</v>
      </c>
      <c r="BI351" s="8">
        <f>IF(N351="nulová",J351,0)</f>
        <v>0</v>
      </c>
      <c r="BJ351" s="7" t="s">
        <v>2</v>
      </c>
      <c r="BK351" s="8">
        <f>ROUND(I351*H351,2)</f>
        <v>0</v>
      </c>
      <c r="BL351" s="7" t="s">
        <v>328</v>
      </c>
      <c r="BM351" s="6" t="s">
        <v>2340</v>
      </c>
    </row>
    <row r="352" spans="2:65" s="2" customFormat="1">
      <c r="B352" s="3"/>
      <c r="D352" s="107" t="s">
        <v>651</v>
      </c>
      <c r="F352" s="106" t="s">
        <v>2339</v>
      </c>
      <c r="I352" s="94"/>
      <c r="L352" s="3"/>
      <c r="M352" s="100"/>
      <c r="T352" s="99"/>
      <c r="AT352" s="7" t="s">
        <v>651</v>
      </c>
      <c r="AU352" s="7" t="s">
        <v>365</v>
      </c>
    </row>
    <row r="353" spans="2:65" s="269" customFormat="1">
      <c r="B353" s="273"/>
      <c r="D353" s="96" t="s">
        <v>704</v>
      </c>
      <c r="E353" s="270" t="s">
        <v>6</v>
      </c>
      <c r="F353" s="275" t="s">
        <v>2256</v>
      </c>
      <c r="H353" s="270" t="s">
        <v>6</v>
      </c>
      <c r="I353" s="274"/>
      <c r="L353" s="273"/>
      <c r="M353" s="272"/>
      <c r="T353" s="271"/>
      <c r="AT353" s="270" t="s">
        <v>704</v>
      </c>
      <c r="AU353" s="270" t="s">
        <v>365</v>
      </c>
      <c r="AV353" s="269" t="s">
        <v>2</v>
      </c>
      <c r="AW353" s="269" t="s">
        <v>703</v>
      </c>
      <c r="AX353" s="269" t="s">
        <v>25</v>
      </c>
      <c r="AY353" s="270" t="s">
        <v>3</v>
      </c>
    </row>
    <row r="354" spans="2:65" s="108" customFormat="1">
      <c r="B354" s="112"/>
      <c r="D354" s="96" t="s">
        <v>704</v>
      </c>
      <c r="E354" s="109" t="s">
        <v>6</v>
      </c>
      <c r="F354" s="115" t="s">
        <v>2</v>
      </c>
      <c r="H354" s="114">
        <v>1</v>
      </c>
      <c r="I354" s="113"/>
      <c r="L354" s="112"/>
      <c r="M354" s="111"/>
      <c r="T354" s="110"/>
      <c r="AT354" s="109" t="s">
        <v>704</v>
      </c>
      <c r="AU354" s="109" t="s">
        <v>365</v>
      </c>
      <c r="AV354" s="108" t="s">
        <v>365</v>
      </c>
      <c r="AW354" s="108" t="s">
        <v>703</v>
      </c>
      <c r="AX354" s="108" t="s">
        <v>2</v>
      </c>
      <c r="AY354" s="109" t="s">
        <v>3</v>
      </c>
    </row>
    <row r="355" spans="2:65" s="2" customFormat="1" ht="16.5" customHeight="1">
      <c r="B355" s="3"/>
      <c r="C355" s="125" t="s">
        <v>33</v>
      </c>
      <c r="D355" s="125" t="s">
        <v>750</v>
      </c>
      <c r="E355" s="124" t="s">
        <v>2338</v>
      </c>
      <c r="F355" s="119" t="s">
        <v>2337</v>
      </c>
      <c r="G355" s="123" t="s">
        <v>722</v>
      </c>
      <c r="H355" s="122">
        <v>1</v>
      </c>
      <c r="I355" s="121"/>
      <c r="J355" s="120">
        <f>ROUND(I355*H355,2)</f>
        <v>0</v>
      </c>
      <c r="K355" s="119" t="s">
        <v>7</v>
      </c>
      <c r="L355" s="118"/>
      <c r="M355" s="117" t="s">
        <v>6</v>
      </c>
      <c r="N355" s="116" t="s">
        <v>5</v>
      </c>
      <c r="P355" s="22">
        <f>O355*H355</f>
        <v>0</v>
      </c>
      <c r="Q355" s="22">
        <v>8.0000000000000002E-3</v>
      </c>
      <c r="R355" s="22">
        <f>Q355*H355</f>
        <v>8.0000000000000002E-3</v>
      </c>
      <c r="S355" s="22">
        <v>0</v>
      </c>
      <c r="T355" s="21">
        <f>S355*H355</f>
        <v>0</v>
      </c>
      <c r="AR355" s="6" t="s">
        <v>283</v>
      </c>
      <c r="AT355" s="6" t="s">
        <v>750</v>
      </c>
      <c r="AU355" s="6" t="s">
        <v>365</v>
      </c>
      <c r="AY355" s="7" t="s">
        <v>3</v>
      </c>
      <c r="BE355" s="8">
        <f>IF(N355="základní",J355,0)</f>
        <v>0</v>
      </c>
      <c r="BF355" s="8">
        <f>IF(N355="snížená",J355,0)</f>
        <v>0</v>
      </c>
      <c r="BG355" s="8">
        <f>IF(N355="zákl. přenesená",J355,0)</f>
        <v>0</v>
      </c>
      <c r="BH355" s="8">
        <f>IF(N355="sníž. přenesená",J355,0)</f>
        <v>0</v>
      </c>
      <c r="BI355" s="8">
        <f>IF(N355="nulová",J355,0)</f>
        <v>0</v>
      </c>
      <c r="BJ355" s="7" t="s">
        <v>2</v>
      </c>
      <c r="BK355" s="8">
        <f>ROUND(I355*H355,2)</f>
        <v>0</v>
      </c>
      <c r="BL355" s="7" t="s">
        <v>328</v>
      </c>
      <c r="BM355" s="6" t="s">
        <v>2336</v>
      </c>
    </row>
    <row r="356" spans="2:65" s="2" customFormat="1" ht="24.2" customHeight="1">
      <c r="B356" s="3"/>
      <c r="C356" s="20" t="s">
        <v>24</v>
      </c>
      <c r="D356" s="20" t="s">
        <v>4</v>
      </c>
      <c r="E356" s="19" t="s">
        <v>2331</v>
      </c>
      <c r="F356" s="14" t="s">
        <v>2330</v>
      </c>
      <c r="G356" s="18" t="s">
        <v>722</v>
      </c>
      <c r="H356" s="17">
        <v>1</v>
      </c>
      <c r="I356" s="16"/>
      <c r="J356" s="15">
        <f>ROUND(I356*H356,2)</f>
        <v>0</v>
      </c>
      <c r="K356" s="14" t="s">
        <v>654</v>
      </c>
      <c r="L356" s="3"/>
      <c r="M356" s="24" t="s">
        <v>6</v>
      </c>
      <c r="N356" s="23" t="s">
        <v>5</v>
      </c>
      <c r="P356" s="22">
        <f>O356*H356</f>
        <v>0</v>
      </c>
      <c r="Q356" s="22">
        <v>0</v>
      </c>
      <c r="R356" s="22">
        <f>Q356*H356</f>
        <v>0</v>
      </c>
      <c r="S356" s="22">
        <v>0</v>
      </c>
      <c r="T356" s="21">
        <f>S356*H356</f>
        <v>0</v>
      </c>
      <c r="AR356" s="6" t="s">
        <v>328</v>
      </c>
      <c r="AT356" s="6" t="s">
        <v>4</v>
      </c>
      <c r="AU356" s="6" t="s">
        <v>365</v>
      </c>
      <c r="AY356" s="7" t="s">
        <v>3</v>
      </c>
      <c r="BE356" s="8">
        <f>IF(N356="základní",J356,0)</f>
        <v>0</v>
      </c>
      <c r="BF356" s="8">
        <f>IF(N356="snížená",J356,0)</f>
        <v>0</v>
      </c>
      <c r="BG356" s="8">
        <f>IF(N356="zákl. přenesená",J356,0)</f>
        <v>0</v>
      </c>
      <c r="BH356" s="8">
        <f>IF(N356="sníž. přenesená",J356,0)</f>
        <v>0</v>
      </c>
      <c r="BI356" s="8">
        <f>IF(N356="nulová",J356,0)</f>
        <v>0</v>
      </c>
      <c r="BJ356" s="7" t="s">
        <v>2</v>
      </c>
      <c r="BK356" s="8">
        <f>ROUND(I356*H356,2)</f>
        <v>0</v>
      </c>
      <c r="BL356" s="7" t="s">
        <v>328</v>
      </c>
      <c r="BM356" s="6" t="s">
        <v>2335</v>
      </c>
    </row>
    <row r="357" spans="2:65" s="2" customFormat="1">
      <c r="B357" s="3"/>
      <c r="D357" s="107" t="s">
        <v>651</v>
      </c>
      <c r="F357" s="106" t="s">
        <v>2328</v>
      </c>
      <c r="I357" s="94"/>
      <c r="L357" s="3"/>
      <c r="M357" s="100"/>
      <c r="T357" s="99"/>
      <c r="AT357" s="7" t="s">
        <v>651</v>
      </c>
      <c r="AU357" s="7" t="s">
        <v>365</v>
      </c>
    </row>
    <row r="358" spans="2:65" s="269" customFormat="1">
      <c r="B358" s="273"/>
      <c r="D358" s="96" t="s">
        <v>704</v>
      </c>
      <c r="E358" s="270" t="s">
        <v>6</v>
      </c>
      <c r="F358" s="275" t="s">
        <v>2256</v>
      </c>
      <c r="H358" s="270" t="s">
        <v>6</v>
      </c>
      <c r="I358" s="274"/>
      <c r="L358" s="273"/>
      <c r="M358" s="272"/>
      <c r="T358" s="271"/>
      <c r="AT358" s="270" t="s">
        <v>704</v>
      </c>
      <c r="AU358" s="270" t="s">
        <v>365</v>
      </c>
      <c r="AV358" s="269" t="s">
        <v>2</v>
      </c>
      <c r="AW358" s="269" t="s">
        <v>703</v>
      </c>
      <c r="AX358" s="269" t="s">
        <v>25</v>
      </c>
      <c r="AY358" s="270" t="s">
        <v>3</v>
      </c>
    </row>
    <row r="359" spans="2:65" s="108" customFormat="1">
      <c r="B359" s="112"/>
      <c r="D359" s="96" t="s">
        <v>704</v>
      </c>
      <c r="E359" s="109" t="s">
        <v>6</v>
      </c>
      <c r="F359" s="115" t="s">
        <v>2</v>
      </c>
      <c r="H359" s="114">
        <v>1</v>
      </c>
      <c r="I359" s="113"/>
      <c r="L359" s="112"/>
      <c r="M359" s="111"/>
      <c r="T359" s="110"/>
      <c r="AT359" s="109" t="s">
        <v>704</v>
      </c>
      <c r="AU359" s="109" t="s">
        <v>365</v>
      </c>
      <c r="AV359" s="108" t="s">
        <v>365</v>
      </c>
      <c r="AW359" s="108" t="s">
        <v>703</v>
      </c>
      <c r="AX359" s="108" t="s">
        <v>2</v>
      </c>
      <c r="AY359" s="109" t="s">
        <v>3</v>
      </c>
    </row>
    <row r="360" spans="2:65" s="2" customFormat="1" ht="24.2" customHeight="1">
      <c r="B360" s="3"/>
      <c r="C360" s="125" t="s">
        <v>19</v>
      </c>
      <c r="D360" s="125" t="s">
        <v>750</v>
      </c>
      <c r="E360" s="124" t="s">
        <v>2334</v>
      </c>
      <c r="F360" s="119" t="s">
        <v>2333</v>
      </c>
      <c r="G360" s="123" t="s">
        <v>722</v>
      </c>
      <c r="H360" s="122">
        <v>1</v>
      </c>
      <c r="I360" s="121"/>
      <c r="J360" s="120">
        <f>ROUND(I360*H360,2)</f>
        <v>0</v>
      </c>
      <c r="K360" s="119" t="s">
        <v>7</v>
      </c>
      <c r="L360" s="118"/>
      <c r="M360" s="117" t="s">
        <v>6</v>
      </c>
      <c r="N360" s="116" t="s">
        <v>5</v>
      </c>
      <c r="P360" s="22">
        <f>O360*H360</f>
        <v>0</v>
      </c>
      <c r="Q360" s="22">
        <v>3.0000000000000001E-3</v>
      </c>
      <c r="R360" s="22">
        <f>Q360*H360</f>
        <v>3.0000000000000001E-3</v>
      </c>
      <c r="S360" s="22">
        <v>0</v>
      </c>
      <c r="T360" s="21">
        <f>S360*H360</f>
        <v>0</v>
      </c>
      <c r="AR360" s="6" t="s">
        <v>283</v>
      </c>
      <c r="AT360" s="6" t="s">
        <v>750</v>
      </c>
      <c r="AU360" s="6" t="s">
        <v>365</v>
      </c>
      <c r="AY360" s="7" t="s">
        <v>3</v>
      </c>
      <c r="BE360" s="8">
        <f>IF(N360="základní",J360,0)</f>
        <v>0</v>
      </c>
      <c r="BF360" s="8">
        <f>IF(N360="snížená",J360,0)</f>
        <v>0</v>
      </c>
      <c r="BG360" s="8">
        <f>IF(N360="zákl. přenesená",J360,0)</f>
        <v>0</v>
      </c>
      <c r="BH360" s="8">
        <f>IF(N360="sníž. přenesená",J360,0)</f>
        <v>0</v>
      </c>
      <c r="BI360" s="8">
        <f>IF(N360="nulová",J360,0)</f>
        <v>0</v>
      </c>
      <c r="BJ360" s="7" t="s">
        <v>2</v>
      </c>
      <c r="BK360" s="8">
        <f>ROUND(I360*H360,2)</f>
        <v>0</v>
      </c>
      <c r="BL360" s="7" t="s">
        <v>328</v>
      </c>
      <c r="BM360" s="6" t="s">
        <v>2332</v>
      </c>
    </row>
    <row r="361" spans="2:65" s="2" customFormat="1" ht="24.2" customHeight="1">
      <c r="B361" s="3"/>
      <c r="C361" s="20" t="s">
        <v>15</v>
      </c>
      <c r="D361" s="20" t="s">
        <v>4</v>
      </c>
      <c r="E361" s="19" t="s">
        <v>2331</v>
      </c>
      <c r="F361" s="14" t="s">
        <v>2330</v>
      </c>
      <c r="G361" s="18" t="s">
        <v>722</v>
      </c>
      <c r="H361" s="17">
        <v>1</v>
      </c>
      <c r="I361" s="16"/>
      <c r="J361" s="15">
        <f>ROUND(I361*H361,2)</f>
        <v>0</v>
      </c>
      <c r="K361" s="14" t="s">
        <v>654</v>
      </c>
      <c r="L361" s="3"/>
      <c r="M361" s="24" t="s">
        <v>6</v>
      </c>
      <c r="N361" s="23" t="s">
        <v>5</v>
      </c>
      <c r="P361" s="22">
        <f>O361*H361</f>
        <v>0</v>
      </c>
      <c r="Q361" s="22">
        <v>0</v>
      </c>
      <c r="R361" s="22">
        <f>Q361*H361</f>
        <v>0</v>
      </c>
      <c r="S361" s="22">
        <v>0</v>
      </c>
      <c r="T361" s="21">
        <f>S361*H361</f>
        <v>0</v>
      </c>
      <c r="AR361" s="6" t="s">
        <v>328</v>
      </c>
      <c r="AT361" s="6" t="s">
        <v>4</v>
      </c>
      <c r="AU361" s="6" t="s">
        <v>365</v>
      </c>
      <c r="AY361" s="7" t="s">
        <v>3</v>
      </c>
      <c r="BE361" s="8">
        <f>IF(N361="základní",J361,0)</f>
        <v>0</v>
      </c>
      <c r="BF361" s="8">
        <f>IF(N361="snížená",J361,0)</f>
        <v>0</v>
      </c>
      <c r="BG361" s="8">
        <f>IF(N361="zákl. přenesená",J361,0)</f>
        <v>0</v>
      </c>
      <c r="BH361" s="8">
        <f>IF(N361="sníž. přenesená",J361,0)</f>
        <v>0</v>
      </c>
      <c r="BI361" s="8">
        <f>IF(N361="nulová",J361,0)</f>
        <v>0</v>
      </c>
      <c r="BJ361" s="7" t="s">
        <v>2</v>
      </c>
      <c r="BK361" s="8">
        <f>ROUND(I361*H361,2)</f>
        <v>0</v>
      </c>
      <c r="BL361" s="7" t="s">
        <v>328</v>
      </c>
      <c r="BM361" s="6" t="s">
        <v>2329</v>
      </c>
    </row>
    <row r="362" spans="2:65" s="2" customFormat="1">
      <c r="B362" s="3"/>
      <c r="D362" s="107" t="s">
        <v>651</v>
      </c>
      <c r="F362" s="106" t="s">
        <v>2328</v>
      </c>
      <c r="I362" s="94"/>
      <c r="L362" s="3"/>
      <c r="M362" s="100"/>
      <c r="T362" s="99"/>
      <c r="AT362" s="7" t="s">
        <v>651</v>
      </c>
      <c r="AU362" s="7" t="s">
        <v>365</v>
      </c>
    </row>
    <row r="363" spans="2:65" s="269" customFormat="1">
      <c r="B363" s="273"/>
      <c r="D363" s="96" t="s">
        <v>704</v>
      </c>
      <c r="E363" s="270" t="s">
        <v>6</v>
      </c>
      <c r="F363" s="275" t="s">
        <v>2256</v>
      </c>
      <c r="H363" s="270" t="s">
        <v>6</v>
      </c>
      <c r="I363" s="274"/>
      <c r="L363" s="273"/>
      <c r="M363" s="272"/>
      <c r="T363" s="271"/>
      <c r="AT363" s="270" t="s">
        <v>704</v>
      </c>
      <c r="AU363" s="270" t="s">
        <v>365</v>
      </c>
      <c r="AV363" s="269" t="s">
        <v>2</v>
      </c>
      <c r="AW363" s="269" t="s">
        <v>703</v>
      </c>
      <c r="AX363" s="269" t="s">
        <v>25</v>
      </c>
      <c r="AY363" s="270" t="s">
        <v>3</v>
      </c>
    </row>
    <row r="364" spans="2:65" s="108" customFormat="1">
      <c r="B364" s="112"/>
      <c r="D364" s="96" t="s">
        <v>704</v>
      </c>
      <c r="E364" s="109" t="s">
        <v>6</v>
      </c>
      <c r="F364" s="115" t="s">
        <v>2</v>
      </c>
      <c r="H364" s="114">
        <v>1</v>
      </c>
      <c r="I364" s="113"/>
      <c r="L364" s="112"/>
      <c r="M364" s="111"/>
      <c r="T364" s="110"/>
      <c r="AT364" s="109" t="s">
        <v>704</v>
      </c>
      <c r="AU364" s="109" t="s">
        <v>365</v>
      </c>
      <c r="AV364" s="108" t="s">
        <v>365</v>
      </c>
      <c r="AW364" s="108" t="s">
        <v>703</v>
      </c>
      <c r="AX364" s="108" t="s">
        <v>2</v>
      </c>
      <c r="AY364" s="109" t="s">
        <v>3</v>
      </c>
    </row>
    <row r="365" spans="2:65" s="2" customFormat="1" ht="24.2" customHeight="1">
      <c r="B365" s="3"/>
      <c r="C365" s="125" t="s">
        <v>11</v>
      </c>
      <c r="D365" s="125" t="s">
        <v>750</v>
      </c>
      <c r="E365" s="124" t="s">
        <v>2327</v>
      </c>
      <c r="F365" s="119" t="s">
        <v>2326</v>
      </c>
      <c r="G365" s="123" t="s">
        <v>722</v>
      </c>
      <c r="H365" s="122">
        <v>1</v>
      </c>
      <c r="I365" s="121"/>
      <c r="J365" s="120">
        <f>ROUND(I365*H365,2)</f>
        <v>0</v>
      </c>
      <c r="K365" s="119" t="s">
        <v>7</v>
      </c>
      <c r="L365" s="118"/>
      <c r="M365" s="117" t="s">
        <v>6</v>
      </c>
      <c r="N365" s="116" t="s">
        <v>5</v>
      </c>
      <c r="P365" s="22">
        <f>O365*H365</f>
        <v>0</v>
      </c>
      <c r="Q365" s="22">
        <v>3.5000000000000001E-3</v>
      </c>
      <c r="R365" s="22">
        <f>Q365*H365</f>
        <v>3.5000000000000001E-3</v>
      </c>
      <c r="S365" s="22">
        <v>0</v>
      </c>
      <c r="T365" s="21">
        <f>S365*H365</f>
        <v>0</v>
      </c>
      <c r="AR365" s="6" t="s">
        <v>283</v>
      </c>
      <c r="AT365" s="6" t="s">
        <v>750</v>
      </c>
      <c r="AU365" s="6" t="s">
        <v>365</v>
      </c>
      <c r="AY365" s="7" t="s">
        <v>3</v>
      </c>
      <c r="BE365" s="8">
        <f>IF(N365="základní",J365,0)</f>
        <v>0</v>
      </c>
      <c r="BF365" s="8">
        <f>IF(N365="snížená",J365,0)</f>
        <v>0</v>
      </c>
      <c r="BG365" s="8">
        <f>IF(N365="zákl. přenesená",J365,0)</f>
        <v>0</v>
      </c>
      <c r="BH365" s="8">
        <f>IF(N365="sníž. přenesená",J365,0)</f>
        <v>0</v>
      </c>
      <c r="BI365" s="8">
        <f>IF(N365="nulová",J365,0)</f>
        <v>0</v>
      </c>
      <c r="BJ365" s="7" t="s">
        <v>2</v>
      </c>
      <c r="BK365" s="8">
        <f>ROUND(I365*H365,2)</f>
        <v>0</v>
      </c>
      <c r="BL365" s="7" t="s">
        <v>328</v>
      </c>
      <c r="BM365" s="6" t="s">
        <v>2325</v>
      </c>
    </row>
    <row r="366" spans="2:65" s="2" customFormat="1" ht="16.5" customHeight="1">
      <c r="B366" s="3"/>
      <c r="C366" s="20" t="s">
        <v>219</v>
      </c>
      <c r="D366" s="20" t="s">
        <v>4</v>
      </c>
      <c r="E366" s="19" t="s">
        <v>2324</v>
      </c>
      <c r="F366" s="14" t="s">
        <v>2323</v>
      </c>
      <c r="G366" s="18" t="s">
        <v>722</v>
      </c>
      <c r="H366" s="17">
        <v>10</v>
      </c>
      <c r="I366" s="16"/>
      <c r="J366" s="15">
        <f>ROUND(I366*H366,2)</f>
        <v>0</v>
      </c>
      <c r="K366" s="14" t="s">
        <v>654</v>
      </c>
      <c r="L366" s="3"/>
      <c r="M366" s="24" t="s">
        <v>6</v>
      </c>
      <c r="N366" s="23" t="s">
        <v>5</v>
      </c>
      <c r="P366" s="22">
        <f>O366*H366</f>
        <v>0</v>
      </c>
      <c r="Q366" s="22">
        <v>0</v>
      </c>
      <c r="R366" s="22">
        <f>Q366*H366</f>
        <v>0</v>
      </c>
      <c r="S366" s="22">
        <v>0</v>
      </c>
      <c r="T366" s="21">
        <f>S366*H366</f>
        <v>0</v>
      </c>
      <c r="AR366" s="6" t="s">
        <v>328</v>
      </c>
      <c r="AT366" s="6" t="s">
        <v>4</v>
      </c>
      <c r="AU366" s="6" t="s">
        <v>365</v>
      </c>
      <c r="AY366" s="7" t="s">
        <v>3</v>
      </c>
      <c r="BE366" s="8">
        <f>IF(N366="základní",J366,0)</f>
        <v>0</v>
      </c>
      <c r="BF366" s="8">
        <f>IF(N366="snížená",J366,0)</f>
        <v>0</v>
      </c>
      <c r="BG366" s="8">
        <f>IF(N366="zákl. přenesená",J366,0)</f>
        <v>0</v>
      </c>
      <c r="BH366" s="8">
        <f>IF(N366="sníž. přenesená",J366,0)</f>
        <v>0</v>
      </c>
      <c r="BI366" s="8">
        <f>IF(N366="nulová",J366,0)</f>
        <v>0</v>
      </c>
      <c r="BJ366" s="7" t="s">
        <v>2</v>
      </c>
      <c r="BK366" s="8">
        <f>ROUND(I366*H366,2)</f>
        <v>0</v>
      </c>
      <c r="BL366" s="7" t="s">
        <v>328</v>
      </c>
      <c r="BM366" s="6" t="s">
        <v>2322</v>
      </c>
    </row>
    <row r="367" spans="2:65" s="2" customFormat="1">
      <c r="B367" s="3"/>
      <c r="D367" s="107" t="s">
        <v>651</v>
      </c>
      <c r="F367" s="106" t="s">
        <v>2321</v>
      </c>
      <c r="I367" s="94"/>
      <c r="L367" s="3"/>
      <c r="M367" s="100"/>
      <c r="T367" s="99"/>
      <c r="AT367" s="7" t="s">
        <v>651</v>
      </c>
      <c r="AU367" s="7" t="s">
        <v>365</v>
      </c>
    </row>
    <row r="368" spans="2:65" s="269" customFormat="1">
      <c r="B368" s="273"/>
      <c r="D368" s="96" t="s">
        <v>704</v>
      </c>
      <c r="E368" s="270" t="s">
        <v>6</v>
      </c>
      <c r="F368" s="275" t="s">
        <v>2256</v>
      </c>
      <c r="H368" s="270" t="s">
        <v>6</v>
      </c>
      <c r="I368" s="274"/>
      <c r="L368" s="273"/>
      <c r="M368" s="272"/>
      <c r="T368" s="271"/>
      <c r="AT368" s="270" t="s">
        <v>704</v>
      </c>
      <c r="AU368" s="270" t="s">
        <v>365</v>
      </c>
      <c r="AV368" s="269" t="s">
        <v>2</v>
      </c>
      <c r="AW368" s="269" t="s">
        <v>703</v>
      </c>
      <c r="AX368" s="269" t="s">
        <v>25</v>
      </c>
      <c r="AY368" s="270" t="s">
        <v>3</v>
      </c>
    </row>
    <row r="369" spans="2:65" s="108" customFormat="1">
      <c r="B369" s="112"/>
      <c r="D369" s="96" t="s">
        <v>704</v>
      </c>
      <c r="E369" s="109" t="s">
        <v>6</v>
      </c>
      <c r="F369" s="115" t="s">
        <v>344</v>
      </c>
      <c r="H369" s="114">
        <v>10</v>
      </c>
      <c r="I369" s="113"/>
      <c r="L369" s="112"/>
      <c r="M369" s="111"/>
      <c r="T369" s="110"/>
      <c r="AT369" s="109" t="s">
        <v>704</v>
      </c>
      <c r="AU369" s="109" t="s">
        <v>365</v>
      </c>
      <c r="AV369" s="108" t="s">
        <v>365</v>
      </c>
      <c r="AW369" s="108" t="s">
        <v>703</v>
      </c>
      <c r="AX369" s="108" t="s">
        <v>2</v>
      </c>
      <c r="AY369" s="109" t="s">
        <v>3</v>
      </c>
    </row>
    <row r="370" spans="2:65" s="2" customFormat="1" ht="16.5" customHeight="1">
      <c r="B370" s="3"/>
      <c r="C370" s="125" t="s">
        <v>882</v>
      </c>
      <c r="D370" s="125" t="s">
        <v>750</v>
      </c>
      <c r="E370" s="124" t="s">
        <v>2320</v>
      </c>
      <c r="F370" s="119" t="s">
        <v>2319</v>
      </c>
      <c r="G370" s="123" t="s">
        <v>722</v>
      </c>
      <c r="H370" s="122">
        <v>10</v>
      </c>
      <c r="I370" s="121"/>
      <c r="J370" s="120">
        <f>ROUND(I370*H370,2)</f>
        <v>0</v>
      </c>
      <c r="K370" s="119" t="s">
        <v>7</v>
      </c>
      <c r="L370" s="118"/>
      <c r="M370" s="117" t="s">
        <v>6</v>
      </c>
      <c r="N370" s="116" t="s">
        <v>5</v>
      </c>
      <c r="P370" s="22">
        <f>O370*H370</f>
        <v>0</v>
      </c>
      <c r="Q370" s="22">
        <v>3.0000000000000001E-3</v>
      </c>
      <c r="R370" s="22">
        <f>Q370*H370</f>
        <v>0.03</v>
      </c>
      <c r="S370" s="22">
        <v>0</v>
      </c>
      <c r="T370" s="21">
        <f>S370*H370</f>
        <v>0</v>
      </c>
      <c r="AR370" s="6" t="s">
        <v>283</v>
      </c>
      <c r="AT370" s="6" t="s">
        <v>750</v>
      </c>
      <c r="AU370" s="6" t="s">
        <v>365</v>
      </c>
      <c r="AY370" s="7" t="s">
        <v>3</v>
      </c>
      <c r="BE370" s="8">
        <f>IF(N370="základní",J370,0)</f>
        <v>0</v>
      </c>
      <c r="BF370" s="8">
        <f>IF(N370="snížená",J370,0)</f>
        <v>0</v>
      </c>
      <c r="BG370" s="8">
        <f>IF(N370="zákl. přenesená",J370,0)</f>
        <v>0</v>
      </c>
      <c r="BH370" s="8">
        <f>IF(N370="sníž. přenesená",J370,0)</f>
        <v>0</v>
      </c>
      <c r="BI370" s="8">
        <f>IF(N370="nulová",J370,0)</f>
        <v>0</v>
      </c>
      <c r="BJ370" s="7" t="s">
        <v>2</v>
      </c>
      <c r="BK370" s="8">
        <f>ROUND(I370*H370,2)</f>
        <v>0</v>
      </c>
      <c r="BL370" s="7" t="s">
        <v>328</v>
      </c>
      <c r="BM370" s="6" t="s">
        <v>2318</v>
      </c>
    </row>
    <row r="371" spans="2:65" s="2" customFormat="1" ht="16.5" customHeight="1">
      <c r="B371" s="3"/>
      <c r="C371" s="20" t="s">
        <v>215</v>
      </c>
      <c r="D371" s="20" t="s">
        <v>4</v>
      </c>
      <c r="E371" s="19" t="s">
        <v>2317</v>
      </c>
      <c r="F371" s="14" t="s">
        <v>2316</v>
      </c>
      <c r="G371" s="18" t="s">
        <v>21</v>
      </c>
      <c r="H371" s="17">
        <v>10.5</v>
      </c>
      <c r="I371" s="16"/>
      <c r="J371" s="15">
        <f>ROUND(I371*H371,2)</f>
        <v>0</v>
      </c>
      <c r="K371" s="14" t="s">
        <v>654</v>
      </c>
      <c r="L371" s="3"/>
      <c r="M371" s="24" t="s">
        <v>6</v>
      </c>
      <c r="N371" s="23" t="s">
        <v>5</v>
      </c>
      <c r="P371" s="22">
        <f>O371*H371</f>
        <v>0</v>
      </c>
      <c r="Q371" s="22">
        <v>0</v>
      </c>
      <c r="R371" s="22">
        <f>Q371*H371</f>
        <v>0</v>
      </c>
      <c r="S371" s="22">
        <v>0</v>
      </c>
      <c r="T371" s="21">
        <f>S371*H371</f>
        <v>0</v>
      </c>
      <c r="AR371" s="6" t="s">
        <v>328</v>
      </c>
      <c r="AT371" s="6" t="s">
        <v>4</v>
      </c>
      <c r="AU371" s="6" t="s">
        <v>365</v>
      </c>
      <c r="AY371" s="7" t="s">
        <v>3</v>
      </c>
      <c r="BE371" s="8">
        <f>IF(N371="základní",J371,0)</f>
        <v>0</v>
      </c>
      <c r="BF371" s="8">
        <f>IF(N371="snížená",J371,0)</f>
        <v>0</v>
      </c>
      <c r="BG371" s="8">
        <f>IF(N371="zákl. přenesená",J371,0)</f>
        <v>0</v>
      </c>
      <c r="BH371" s="8">
        <f>IF(N371="sníž. přenesená",J371,0)</f>
        <v>0</v>
      </c>
      <c r="BI371" s="8">
        <f>IF(N371="nulová",J371,0)</f>
        <v>0</v>
      </c>
      <c r="BJ371" s="7" t="s">
        <v>2</v>
      </c>
      <c r="BK371" s="8">
        <f>ROUND(I371*H371,2)</f>
        <v>0</v>
      </c>
      <c r="BL371" s="7" t="s">
        <v>328</v>
      </c>
      <c r="BM371" s="6" t="s">
        <v>2315</v>
      </c>
    </row>
    <row r="372" spans="2:65" s="2" customFormat="1">
      <c r="B372" s="3"/>
      <c r="D372" s="107" t="s">
        <v>651</v>
      </c>
      <c r="F372" s="106" t="s">
        <v>2314</v>
      </c>
      <c r="I372" s="94"/>
      <c r="L372" s="3"/>
      <c r="M372" s="100"/>
      <c r="T372" s="99"/>
      <c r="AT372" s="7" t="s">
        <v>651</v>
      </c>
      <c r="AU372" s="7" t="s">
        <v>365</v>
      </c>
    </row>
    <row r="373" spans="2:65" s="269" customFormat="1">
      <c r="B373" s="273"/>
      <c r="D373" s="96" t="s">
        <v>704</v>
      </c>
      <c r="E373" s="270" t="s">
        <v>6</v>
      </c>
      <c r="F373" s="275" t="s">
        <v>2256</v>
      </c>
      <c r="H373" s="270" t="s">
        <v>6</v>
      </c>
      <c r="I373" s="274"/>
      <c r="L373" s="273"/>
      <c r="M373" s="272"/>
      <c r="T373" s="271"/>
      <c r="AT373" s="270" t="s">
        <v>704</v>
      </c>
      <c r="AU373" s="270" t="s">
        <v>365</v>
      </c>
      <c r="AV373" s="269" t="s">
        <v>2</v>
      </c>
      <c r="AW373" s="269" t="s">
        <v>703</v>
      </c>
      <c r="AX373" s="269" t="s">
        <v>25</v>
      </c>
      <c r="AY373" s="270" t="s">
        <v>3</v>
      </c>
    </row>
    <row r="374" spans="2:65" s="108" customFormat="1">
      <c r="B374" s="112"/>
      <c r="D374" s="96" t="s">
        <v>704</v>
      </c>
      <c r="E374" s="109" t="s">
        <v>6</v>
      </c>
      <c r="F374" s="115" t="s">
        <v>2313</v>
      </c>
      <c r="H374" s="114">
        <v>10.5</v>
      </c>
      <c r="I374" s="113"/>
      <c r="L374" s="112"/>
      <c r="M374" s="111"/>
      <c r="T374" s="110"/>
      <c r="AT374" s="109" t="s">
        <v>704</v>
      </c>
      <c r="AU374" s="109" t="s">
        <v>365</v>
      </c>
      <c r="AV374" s="108" t="s">
        <v>365</v>
      </c>
      <c r="AW374" s="108" t="s">
        <v>703</v>
      </c>
      <c r="AX374" s="108" t="s">
        <v>2</v>
      </c>
      <c r="AY374" s="109" t="s">
        <v>3</v>
      </c>
    </row>
    <row r="375" spans="2:65" s="2" customFormat="1" ht="49.15" customHeight="1">
      <c r="B375" s="3"/>
      <c r="C375" s="125" t="s">
        <v>875</v>
      </c>
      <c r="D375" s="125" t="s">
        <v>750</v>
      </c>
      <c r="E375" s="124" t="s">
        <v>2312</v>
      </c>
      <c r="F375" s="119" t="s">
        <v>2311</v>
      </c>
      <c r="G375" s="123" t="s">
        <v>714</v>
      </c>
      <c r="H375" s="122">
        <v>1</v>
      </c>
      <c r="I375" s="121"/>
      <c r="J375" s="120">
        <f>ROUND(I375*H375,2)</f>
        <v>0</v>
      </c>
      <c r="K375" s="119" t="s">
        <v>7</v>
      </c>
      <c r="L375" s="118"/>
      <c r="M375" s="117" t="s">
        <v>6</v>
      </c>
      <c r="N375" s="116" t="s">
        <v>5</v>
      </c>
      <c r="P375" s="22">
        <f>O375*H375</f>
        <v>0</v>
      </c>
      <c r="Q375" s="22">
        <v>1.2999999999999999E-2</v>
      </c>
      <c r="R375" s="22">
        <f>Q375*H375</f>
        <v>1.2999999999999999E-2</v>
      </c>
      <c r="S375" s="22">
        <v>0</v>
      </c>
      <c r="T375" s="21">
        <f>S375*H375</f>
        <v>0</v>
      </c>
      <c r="AR375" s="6" t="s">
        <v>283</v>
      </c>
      <c r="AT375" s="6" t="s">
        <v>750</v>
      </c>
      <c r="AU375" s="6" t="s">
        <v>365</v>
      </c>
      <c r="AY375" s="7" t="s">
        <v>3</v>
      </c>
      <c r="BE375" s="8">
        <f>IF(N375="základní",J375,0)</f>
        <v>0</v>
      </c>
      <c r="BF375" s="8">
        <f>IF(N375="snížená",J375,0)</f>
        <v>0</v>
      </c>
      <c r="BG375" s="8">
        <f>IF(N375="zákl. přenesená",J375,0)</f>
        <v>0</v>
      </c>
      <c r="BH375" s="8">
        <f>IF(N375="sníž. přenesená",J375,0)</f>
        <v>0</v>
      </c>
      <c r="BI375" s="8">
        <f>IF(N375="nulová",J375,0)</f>
        <v>0</v>
      </c>
      <c r="BJ375" s="7" t="s">
        <v>2</v>
      </c>
      <c r="BK375" s="8">
        <f>ROUND(I375*H375,2)</f>
        <v>0</v>
      </c>
      <c r="BL375" s="7" t="s">
        <v>328</v>
      </c>
      <c r="BM375" s="6" t="s">
        <v>2310</v>
      </c>
    </row>
    <row r="376" spans="2:65" s="2" customFormat="1" ht="16.5" customHeight="1">
      <c r="B376" s="3"/>
      <c r="C376" s="20" t="s">
        <v>211</v>
      </c>
      <c r="D376" s="20" t="s">
        <v>4</v>
      </c>
      <c r="E376" s="19" t="s">
        <v>2309</v>
      </c>
      <c r="F376" s="14" t="s">
        <v>2308</v>
      </c>
      <c r="G376" s="18" t="s">
        <v>722</v>
      </c>
      <c r="H376" s="17">
        <v>1</v>
      </c>
      <c r="I376" s="16"/>
      <c r="J376" s="15">
        <f>ROUND(I376*H376,2)</f>
        <v>0</v>
      </c>
      <c r="K376" s="14" t="s">
        <v>654</v>
      </c>
      <c r="L376" s="3"/>
      <c r="M376" s="24" t="s">
        <v>6</v>
      </c>
      <c r="N376" s="23" t="s">
        <v>5</v>
      </c>
      <c r="P376" s="22">
        <f>O376*H376</f>
        <v>0</v>
      </c>
      <c r="Q376" s="22">
        <v>0</v>
      </c>
      <c r="R376" s="22">
        <f>Q376*H376</f>
        <v>0</v>
      </c>
      <c r="S376" s="22">
        <v>0</v>
      </c>
      <c r="T376" s="21">
        <f>S376*H376</f>
        <v>0</v>
      </c>
      <c r="AR376" s="6" t="s">
        <v>328</v>
      </c>
      <c r="AT376" s="6" t="s">
        <v>4</v>
      </c>
      <c r="AU376" s="6" t="s">
        <v>365</v>
      </c>
      <c r="AY376" s="7" t="s">
        <v>3</v>
      </c>
      <c r="BE376" s="8">
        <f>IF(N376="základní",J376,0)</f>
        <v>0</v>
      </c>
      <c r="BF376" s="8">
        <f>IF(N376="snížená",J376,0)</f>
        <v>0</v>
      </c>
      <c r="BG376" s="8">
        <f>IF(N376="zákl. přenesená",J376,0)</f>
        <v>0</v>
      </c>
      <c r="BH376" s="8">
        <f>IF(N376="sníž. přenesená",J376,0)</f>
        <v>0</v>
      </c>
      <c r="BI376" s="8">
        <f>IF(N376="nulová",J376,0)</f>
        <v>0</v>
      </c>
      <c r="BJ376" s="7" t="s">
        <v>2</v>
      </c>
      <c r="BK376" s="8">
        <f>ROUND(I376*H376,2)</f>
        <v>0</v>
      </c>
      <c r="BL376" s="7" t="s">
        <v>328</v>
      </c>
      <c r="BM376" s="6" t="s">
        <v>2307</v>
      </c>
    </row>
    <row r="377" spans="2:65" s="2" customFormat="1">
      <c r="B377" s="3"/>
      <c r="D377" s="107" t="s">
        <v>651</v>
      </c>
      <c r="F377" s="106" t="s">
        <v>2306</v>
      </c>
      <c r="I377" s="94"/>
      <c r="L377" s="3"/>
      <c r="M377" s="100"/>
      <c r="T377" s="99"/>
      <c r="AT377" s="7" t="s">
        <v>651</v>
      </c>
      <c r="AU377" s="7" t="s">
        <v>365</v>
      </c>
    </row>
    <row r="378" spans="2:65" s="269" customFormat="1">
      <c r="B378" s="273"/>
      <c r="D378" s="96" t="s">
        <v>704</v>
      </c>
      <c r="E378" s="270" t="s">
        <v>6</v>
      </c>
      <c r="F378" s="275" t="s">
        <v>2256</v>
      </c>
      <c r="H378" s="270" t="s">
        <v>6</v>
      </c>
      <c r="I378" s="274"/>
      <c r="L378" s="273"/>
      <c r="M378" s="272"/>
      <c r="T378" s="271"/>
      <c r="AT378" s="270" t="s">
        <v>704</v>
      </c>
      <c r="AU378" s="270" t="s">
        <v>365</v>
      </c>
      <c r="AV378" s="269" t="s">
        <v>2</v>
      </c>
      <c r="AW378" s="269" t="s">
        <v>703</v>
      </c>
      <c r="AX378" s="269" t="s">
        <v>25</v>
      </c>
      <c r="AY378" s="270" t="s">
        <v>3</v>
      </c>
    </row>
    <row r="379" spans="2:65" s="108" customFormat="1">
      <c r="B379" s="112"/>
      <c r="D379" s="96" t="s">
        <v>704</v>
      </c>
      <c r="E379" s="109" t="s">
        <v>6</v>
      </c>
      <c r="F379" s="115" t="s">
        <v>2</v>
      </c>
      <c r="H379" s="114">
        <v>1</v>
      </c>
      <c r="I379" s="113"/>
      <c r="L379" s="112"/>
      <c r="M379" s="111"/>
      <c r="T379" s="110"/>
      <c r="AT379" s="109" t="s">
        <v>704</v>
      </c>
      <c r="AU379" s="109" t="s">
        <v>365</v>
      </c>
      <c r="AV379" s="108" t="s">
        <v>365</v>
      </c>
      <c r="AW379" s="108" t="s">
        <v>703</v>
      </c>
      <c r="AX379" s="108" t="s">
        <v>2</v>
      </c>
      <c r="AY379" s="109" t="s">
        <v>3</v>
      </c>
    </row>
    <row r="380" spans="2:65" s="2" customFormat="1" ht="16.5" customHeight="1">
      <c r="B380" s="3"/>
      <c r="C380" s="125" t="s">
        <v>870</v>
      </c>
      <c r="D380" s="125" t="s">
        <v>750</v>
      </c>
      <c r="E380" s="124" t="s">
        <v>2305</v>
      </c>
      <c r="F380" s="119" t="s">
        <v>2304</v>
      </c>
      <c r="G380" s="123" t="s">
        <v>722</v>
      </c>
      <c r="H380" s="122">
        <v>1</v>
      </c>
      <c r="I380" s="121"/>
      <c r="J380" s="120">
        <f>ROUND(I380*H380,2)</f>
        <v>0</v>
      </c>
      <c r="K380" s="119" t="s">
        <v>7</v>
      </c>
      <c r="L380" s="118"/>
      <c r="M380" s="117" t="s">
        <v>6</v>
      </c>
      <c r="N380" s="116" t="s">
        <v>5</v>
      </c>
      <c r="P380" s="22">
        <f>O380*H380</f>
        <v>0</v>
      </c>
      <c r="Q380" s="22">
        <v>5.0000000000000001E-4</v>
      </c>
      <c r="R380" s="22">
        <f>Q380*H380</f>
        <v>5.0000000000000001E-4</v>
      </c>
      <c r="S380" s="22">
        <v>0</v>
      </c>
      <c r="T380" s="21">
        <f>S380*H380</f>
        <v>0</v>
      </c>
      <c r="AR380" s="6" t="s">
        <v>283</v>
      </c>
      <c r="AT380" s="6" t="s">
        <v>750</v>
      </c>
      <c r="AU380" s="6" t="s">
        <v>365</v>
      </c>
      <c r="AY380" s="7" t="s">
        <v>3</v>
      </c>
      <c r="BE380" s="8">
        <f>IF(N380="základní",J380,0)</f>
        <v>0</v>
      </c>
      <c r="BF380" s="8">
        <f>IF(N380="snížená",J380,0)</f>
        <v>0</v>
      </c>
      <c r="BG380" s="8">
        <f>IF(N380="zákl. přenesená",J380,0)</f>
        <v>0</v>
      </c>
      <c r="BH380" s="8">
        <f>IF(N380="sníž. přenesená",J380,0)</f>
        <v>0</v>
      </c>
      <c r="BI380" s="8">
        <f>IF(N380="nulová",J380,0)</f>
        <v>0</v>
      </c>
      <c r="BJ380" s="7" t="s">
        <v>2</v>
      </c>
      <c r="BK380" s="8">
        <f>ROUND(I380*H380,2)</f>
        <v>0</v>
      </c>
      <c r="BL380" s="7" t="s">
        <v>328</v>
      </c>
      <c r="BM380" s="6" t="s">
        <v>2303</v>
      </c>
    </row>
    <row r="381" spans="2:65" s="2" customFormat="1" ht="16.5" customHeight="1">
      <c r="B381" s="3"/>
      <c r="C381" s="20" t="s">
        <v>207</v>
      </c>
      <c r="D381" s="20" t="s">
        <v>4</v>
      </c>
      <c r="E381" s="19" t="s">
        <v>2302</v>
      </c>
      <c r="F381" s="14" t="s">
        <v>2301</v>
      </c>
      <c r="G381" s="18" t="s">
        <v>722</v>
      </c>
      <c r="H381" s="17">
        <v>3</v>
      </c>
      <c r="I381" s="16"/>
      <c r="J381" s="15">
        <f>ROUND(I381*H381,2)</f>
        <v>0</v>
      </c>
      <c r="K381" s="14" t="s">
        <v>654</v>
      </c>
      <c r="L381" s="3"/>
      <c r="M381" s="24" t="s">
        <v>6</v>
      </c>
      <c r="N381" s="23" t="s">
        <v>5</v>
      </c>
      <c r="P381" s="22">
        <f>O381*H381</f>
        <v>0</v>
      </c>
      <c r="Q381" s="22">
        <v>0</v>
      </c>
      <c r="R381" s="22">
        <f>Q381*H381</f>
        <v>0</v>
      </c>
      <c r="S381" s="22">
        <v>0</v>
      </c>
      <c r="T381" s="21">
        <f>S381*H381</f>
        <v>0</v>
      </c>
      <c r="AR381" s="6" t="s">
        <v>328</v>
      </c>
      <c r="AT381" s="6" t="s">
        <v>4</v>
      </c>
      <c r="AU381" s="6" t="s">
        <v>365</v>
      </c>
      <c r="AY381" s="7" t="s">
        <v>3</v>
      </c>
      <c r="BE381" s="8">
        <f>IF(N381="základní",J381,0)</f>
        <v>0</v>
      </c>
      <c r="BF381" s="8">
        <f>IF(N381="snížená",J381,0)</f>
        <v>0</v>
      </c>
      <c r="BG381" s="8">
        <f>IF(N381="zákl. přenesená",J381,0)</f>
        <v>0</v>
      </c>
      <c r="BH381" s="8">
        <f>IF(N381="sníž. přenesená",J381,0)</f>
        <v>0</v>
      </c>
      <c r="BI381" s="8">
        <f>IF(N381="nulová",J381,0)</f>
        <v>0</v>
      </c>
      <c r="BJ381" s="7" t="s">
        <v>2</v>
      </c>
      <c r="BK381" s="8">
        <f>ROUND(I381*H381,2)</f>
        <v>0</v>
      </c>
      <c r="BL381" s="7" t="s">
        <v>328</v>
      </c>
      <c r="BM381" s="6" t="s">
        <v>2300</v>
      </c>
    </row>
    <row r="382" spans="2:65" s="2" customFormat="1">
      <c r="B382" s="3"/>
      <c r="D382" s="107" t="s">
        <v>651</v>
      </c>
      <c r="F382" s="106" t="s">
        <v>2299</v>
      </c>
      <c r="I382" s="94"/>
      <c r="L382" s="3"/>
      <c r="M382" s="100"/>
      <c r="T382" s="99"/>
      <c r="AT382" s="7" t="s">
        <v>651</v>
      </c>
      <c r="AU382" s="7" t="s">
        <v>365</v>
      </c>
    </row>
    <row r="383" spans="2:65" s="269" customFormat="1">
      <c r="B383" s="273"/>
      <c r="D383" s="96" t="s">
        <v>704</v>
      </c>
      <c r="E383" s="270" t="s">
        <v>6</v>
      </c>
      <c r="F383" s="275" t="s">
        <v>2256</v>
      </c>
      <c r="H383" s="270" t="s">
        <v>6</v>
      </c>
      <c r="I383" s="274"/>
      <c r="L383" s="273"/>
      <c r="M383" s="272"/>
      <c r="T383" s="271"/>
      <c r="AT383" s="270" t="s">
        <v>704</v>
      </c>
      <c r="AU383" s="270" t="s">
        <v>365</v>
      </c>
      <c r="AV383" s="269" t="s">
        <v>2</v>
      </c>
      <c r="AW383" s="269" t="s">
        <v>703</v>
      </c>
      <c r="AX383" s="269" t="s">
        <v>25</v>
      </c>
      <c r="AY383" s="270" t="s">
        <v>3</v>
      </c>
    </row>
    <row r="384" spans="2:65" s="108" customFormat="1">
      <c r="B384" s="112"/>
      <c r="D384" s="96" t="s">
        <v>704</v>
      </c>
      <c r="E384" s="109" t="s">
        <v>6</v>
      </c>
      <c r="F384" s="115" t="s">
        <v>362</v>
      </c>
      <c r="H384" s="114">
        <v>3</v>
      </c>
      <c r="I384" s="113"/>
      <c r="L384" s="112"/>
      <c r="M384" s="111"/>
      <c r="T384" s="110"/>
      <c r="AT384" s="109" t="s">
        <v>704</v>
      </c>
      <c r="AU384" s="109" t="s">
        <v>365</v>
      </c>
      <c r="AV384" s="108" t="s">
        <v>365</v>
      </c>
      <c r="AW384" s="108" t="s">
        <v>703</v>
      </c>
      <c r="AX384" s="108" t="s">
        <v>2</v>
      </c>
      <c r="AY384" s="109" t="s">
        <v>3</v>
      </c>
    </row>
    <row r="385" spans="2:65" s="2" customFormat="1" ht="16.5" customHeight="1">
      <c r="B385" s="3"/>
      <c r="C385" s="125" t="s">
        <v>865</v>
      </c>
      <c r="D385" s="125" t="s">
        <v>750</v>
      </c>
      <c r="E385" s="124" t="s">
        <v>2298</v>
      </c>
      <c r="F385" s="119" t="s">
        <v>2297</v>
      </c>
      <c r="G385" s="123" t="s">
        <v>722</v>
      </c>
      <c r="H385" s="122">
        <v>3</v>
      </c>
      <c r="I385" s="121"/>
      <c r="J385" s="120">
        <f>ROUND(I385*H385,2)</f>
        <v>0</v>
      </c>
      <c r="K385" s="119" t="s">
        <v>7</v>
      </c>
      <c r="L385" s="118"/>
      <c r="M385" s="117" t="s">
        <v>6</v>
      </c>
      <c r="N385" s="116" t="s">
        <v>5</v>
      </c>
      <c r="P385" s="22">
        <f>O385*H385</f>
        <v>0</v>
      </c>
      <c r="Q385" s="22">
        <v>2.5000000000000001E-3</v>
      </c>
      <c r="R385" s="22">
        <f>Q385*H385</f>
        <v>7.4999999999999997E-3</v>
      </c>
      <c r="S385" s="22">
        <v>0</v>
      </c>
      <c r="T385" s="21">
        <f>S385*H385</f>
        <v>0</v>
      </c>
      <c r="AR385" s="6" t="s">
        <v>283</v>
      </c>
      <c r="AT385" s="6" t="s">
        <v>750</v>
      </c>
      <c r="AU385" s="6" t="s">
        <v>365</v>
      </c>
      <c r="AY385" s="7" t="s">
        <v>3</v>
      </c>
      <c r="BE385" s="8">
        <f>IF(N385="základní",J385,0)</f>
        <v>0</v>
      </c>
      <c r="BF385" s="8">
        <f>IF(N385="snížená",J385,0)</f>
        <v>0</v>
      </c>
      <c r="BG385" s="8">
        <f>IF(N385="zákl. přenesená",J385,0)</f>
        <v>0</v>
      </c>
      <c r="BH385" s="8">
        <f>IF(N385="sníž. přenesená",J385,0)</f>
        <v>0</v>
      </c>
      <c r="BI385" s="8">
        <f>IF(N385="nulová",J385,0)</f>
        <v>0</v>
      </c>
      <c r="BJ385" s="7" t="s">
        <v>2</v>
      </c>
      <c r="BK385" s="8">
        <f>ROUND(I385*H385,2)</f>
        <v>0</v>
      </c>
      <c r="BL385" s="7" t="s">
        <v>328</v>
      </c>
      <c r="BM385" s="6" t="s">
        <v>2296</v>
      </c>
    </row>
    <row r="386" spans="2:65" s="2" customFormat="1" ht="16.5" customHeight="1">
      <c r="B386" s="3"/>
      <c r="C386" s="20" t="s">
        <v>204</v>
      </c>
      <c r="D386" s="20" t="s">
        <v>4</v>
      </c>
      <c r="E386" s="19" t="s">
        <v>2295</v>
      </c>
      <c r="F386" s="14" t="s">
        <v>2294</v>
      </c>
      <c r="G386" s="18" t="s">
        <v>722</v>
      </c>
      <c r="H386" s="17">
        <v>1</v>
      </c>
      <c r="I386" s="16"/>
      <c r="J386" s="15">
        <f>ROUND(I386*H386,2)</f>
        <v>0</v>
      </c>
      <c r="K386" s="14" t="s">
        <v>654</v>
      </c>
      <c r="L386" s="3"/>
      <c r="M386" s="24" t="s">
        <v>6</v>
      </c>
      <c r="N386" s="23" t="s">
        <v>5</v>
      </c>
      <c r="P386" s="22">
        <f>O386*H386</f>
        <v>0</v>
      </c>
      <c r="Q386" s="22">
        <v>0</v>
      </c>
      <c r="R386" s="22">
        <f>Q386*H386</f>
        <v>0</v>
      </c>
      <c r="S386" s="22">
        <v>0</v>
      </c>
      <c r="T386" s="21">
        <f>S386*H386</f>
        <v>0</v>
      </c>
      <c r="AR386" s="6" t="s">
        <v>328</v>
      </c>
      <c r="AT386" s="6" t="s">
        <v>4</v>
      </c>
      <c r="AU386" s="6" t="s">
        <v>365</v>
      </c>
      <c r="AY386" s="7" t="s">
        <v>3</v>
      </c>
      <c r="BE386" s="8">
        <f>IF(N386="základní",J386,0)</f>
        <v>0</v>
      </c>
      <c r="BF386" s="8">
        <f>IF(N386="snížená",J386,0)</f>
        <v>0</v>
      </c>
      <c r="BG386" s="8">
        <f>IF(N386="zákl. přenesená",J386,0)</f>
        <v>0</v>
      </c>
      <c r="BH386" s="8">
        <f>IF(N386="sníž. přenesená",J386,0)</f>
        <v>0</v>
      </c>
      <c r="BI386" s="8">
        <f>IF(N386="nulová",J386,0)</f>
        <v>0</v>
      </c>
      <c r="BJ386" s="7" t="s">
        <v>2</v>
      </c>
      <c r="BK386" s="8">
        <f>ROUND(I386*H386,2)</f>
        <v>0</v>
      </c>
      <c r="BL386" s="7" t="s">
        <v>328</v>
      </c>
      <c r="BM386" s="6" t="s">
        <v>2293</v>
      </c>
    </row>
    <row r="387" spans="2:65" s="2" customFormat="1">
      <c r="B387" s="3"/>
      <c r="D387" s="107" t="s">
        <v>651</v>
      </c>
      <c r="F387" s="106" t="s">
        <v>2292</v>
      </c>
      <c r="I387" s="94"/>
      <c r="L387" s="3"/>
      <c r="M387" s="100"/>
      <c r="T387" s="99"/>
      <c r="AT387" s="7" t="s">
        <v>651</v>
      </c>
      <c r="AU387" s="7" t="s">
        <v>365</v>
      </c>
    </row>
    <row r="388" spans="2:65" s="269" customFormat="1">
      <c r="B388" s="273"/>
      <c r="D388" s="96" t="s">
        <v>704</v>
      </c>
      <c r="E388" s="270" t="s">
        <v>6</v>
      </c>
      <c r="F388" s="275" t="s">
        <v>2256</v>
      </c>
      <c r="H388" s="270" t="s">
        <v>6</v>
      </c>
      <c r="I388" s="274"/>
      <c r="L388" s="273"/>
      <c r="M388" s="272"/>
      <c r="T388" s="271"/>
      <c r="AT388" s="270" t="s">
        <v>704</v>
      </c>
      <c r="AU388" s="270" t="s">
        <v>365</v>
      </c>
      <c r="AV388" s="269" t="s">
        <v>2</v>
      </c>
      <c r="AW388" s="269" t="s">
        <v>703</v>
      </c>
      <c r="AX388" s="269" t="s">
        <v>25</v>
      </c>
      <c r="AY388" s="270" t="s">
        <v>3</v>
      </c>
    </row>
    <row r="389" spans="2:65" s="108" customFormat="1">
      <c r="B389" s="112"/>
      <c r="D389" s="96" t="s">
        <v>704</v>
      </c>
      <c r="E389" s="109" t="s">
        <v>6</v>
      </c>
      <c r="F389" s="115" t="s">
        <v>2</v>
      </c>
      <c r="H389" s="114">
        <v>1</v>
      </c>
      <c r="I389" s="113"/>
      <c r="L389" s="112"/>
      <c r="M389" s="111"/>
      <c r="T389" s="110"/>
      <c r="AT389" s="109" t="s">
        <v>704</v>
      </c>
      <c r="AU389" s="109" t="s">
        <v>365</v>
      </c>
      <c r="AV389" s="108" t="s">
        <v>365</v>
      </c>
      <c r="AW389" s="108" t="s">
        <v>703</v>
      </c>
      <c r="AX389" s="108" t="s">
        <v>2</v>
      </c>
      <c r="AY389" s="109" t="s">
        <v>3</v>
      </c>
    </row>
    <row r="390" spans="2:65" s="2" customFormat="1" ht="16.5" customHeight="1">
      <c r="B390" s="3"/>
      <c r="C390" s="125" t="s">
        <v>860</v>
      </c>
      <c r="D390" s="125" t="s">
        <v>750</v>
      </c>
      <c r="E390" s="124" t="s">
        <v>2291</v>
      </c>
      <c r="F390" s="119" t="s">
        <v>2290</v>
      </c>
      <c r="G390" s="123" t="s">
        <v>722</v>
      </c>
      <c r="H390" s="122">
        <v>1</v>
      </c>
      <c r="I390" s="121"/>
      <c r="J390" s="120">
        <f>ROUND(I390*H390,2)</f>
        <v>0</v>
      </c>
      <c r="K390" s="119" t="s">
        <v>7</v>
      </c>
      <c r="L390" s="118"/>
      <c r="M390" s="117" t="s">
        <v>6</v>
      </c>
      <c r="N390" s="116" t="s">
        <v>5</v>
      </c>
      <c r="P390" s="22">
        <f>O390*H390</f>
        <v>0</v>
      </c>
      <c r="Q390" s="22">
        <v>3.0999999999999999E-3</v>
      </c>
      <c r="R390" s="22">
        <f>Q390*H390</f>
        <v>3.0999999999999999E-3</v>
      </c>
      <c r="S390" s="22">
        <v>0</v>
      </c>
      <c r="T390" s="21">
        <f>S390*H390</f>
        <v>0</v>
      </c>
      <c r="AR390" s="6" t="s">
        <v>283</v>
      </c>
      <c r="AT390" s="6" t="s">
        <v>750</v>
      </c>
      <c r="AU390" s="6" t="s">
        <v>365</v>
      </c>
      <c r="AY390" s="7" t="s">
        <v>3</v>
      </c>
      <c r="BE390" s="8">
        <f>IF(N390="základní",J390,0)</f>
        <v>0</v>
      </c>
      <c r="BF390" s="8">
        <f>IF(N390="snížená",J390,0)</f>
        <v>0</v>
      </c>
      <c r="BG390" s="8">
        <f>IF(N390="zákl. přenesená",J390,0)</f>
        <v>0</v>
      </c>
      <c r="BH390" s="8">
        <f>IF(N390="sníž. přenesená",J390,0)</f>
        <v>0</v>
      </c>
      <c r="BI390" s="8">
        <f>IF(N390="nulová",J390,0)</f>
        <v>0</v>
      </c>
      <c r="BJ390" s="7" t="s">
        <v>2</v>
      </c>
      <c r="BK390" s="8">
        <f>ROUND(I390*H390,2)</f>
        <v>0</v>
      </c>
      <c r="BL390" s="7" t="s">
        <v>328</v>
      </c>
      <c r="BM390" s="6" t="s">
        <v>2289</v>
      </c>
    </row>
    <row r="391" spans="2:65" s="2" customFormat="1" ht="16.5" customHeight="1">
      <c r="B391" s="3"/>
      <c r="C391" s="20" t="s">
        <v>200</v>
      </c>
      <c r="D391" s="20" t="s">
        <v>4</v>
      </c>
      <c r="E391" s="19" t="s">
        <v>2288</v>
      </c>
      <c r="F391" s="14" t="s">
        <v>2287</v>
      </c>
      <c r="G391" s="18" t="s">
        <v>722</v>
      </c>
      <c r="H391" s="17">
        <v>1</v>
      </c>
      <c r="I391" s="16"/>
      <c r="J391" s="15">
        <f>ROUND(I391*H391,2)</f>
        <v>0</v>
      </c>
      <c r="K391" s="14" t="s">
        <v>7</v>
      </c>
      <c r="L391" s="3"/>
      <c r="M391" s="24" t="s">
        <v>6</v>
      </c>
      <c r="N391" s="23" t="s">
        <v>5</v>
      </c>
      <c r="P391" s="22">
        <f>O391*H391</f>
        <v>0</v>
      </c>
      <c r="Q391" s="22">
        <v>0</v>
      </c>
      <c r="R391" s="22">
        <f>Q391*H391</f>
        <v>0</v>
      </c>
      <c r="S391" s="22">
        <v>0</v>
      </c>
      <c r="T391" s="21">
        <f>S391*H391</f>
        <v>0</v>
      </c>
      <c r="AR391" s="6" t="s">
        <v>328</v>
      </c>
      <c r="AT391" s="6" t="s">
        <v>4</v>
      </c>
      <c r="AU391" s="6" t="s">
        <v>365</v>
      </c>
      <c r="AY391" s="7" t="s">
        <v>3</v>
      </c>
      <c r="BE391" s="8">
        <f>IF(N391="základní",J391,0)</f>
        <v>0</v>
      </c>
      <c r="BF391" s="8">
        <f>IF(N391="snížená",J391,0)</f>
        <v>0</v>
      </c>
      <c r="BG391" s="8">
        <f>IF(N391="zákl. přenesená",J391,0)</f>
        <v>0</v>
      </c>
      <c r="BH391" s="8">
        <f>IF(N391="sníž. přenesená",J391,0)</f>
        <v>0</v>
      </c>
      <c r="BI391" s="8">
        <f>IF(N391="nulová",J391,0)</f>
        <v>0</v>
      </c>
      <c r="BJ391" s="7" t="s">
        <v>2</v>
      </c>
      <c r="BK391" s="8">
        <f>ROUND(I391*H391,2)</f>
        <v>0</v>
      </c>
      <c r="BL391" s="7" t="s">
        <v>328</v>
      </c>
      <c r="BM391" s="6" t="s">
        <v>2286</v>
      </c>
    </row>
    <row r="392" spans="2:65" s="2" customFormat="1" ht="29.25">
      <c r="B392" s="3"/>
      <c r="D392" s="96" t="s">
        <v>731</v>
      </c>
      <c r="F392" s="95" t="s">
        <v>2285</v>
      </c>
      <c r="I392" s="94"/>
      <c r="L392" s="3"/>
      <c r="M392" s="100"/>
      <c r="T392" s="99"/>
      <c r="AT392" s="7" t="s">
        <v>731</v>
      </c>
      <c r="AU392" s="7" t="s">
        <v>365</v>
      </c>
    </row>
    <row r="393" spans="2:65" s="269" customFormat="1">
      <c r="B393" s="273"/>
      <c r="D393" s="96" t="s">
        <v>704</v>
      </c>
      <c r="E393" s="270" t="s">
        <v>6</v>
      </c>
      <c r="F393" s="275" t="s">
        <v>2256</v>
      </c>
      <c r="H393" s="270" t="s">
        <v>6</v>
      </c>
      <c r="I393" s="274"/>
      <c r="L393" s="273"/>
      <c r="M393" s="272"/>
      <c r="T393" s="271"/>
      <c r="AT393" s="270" t="s">
        <v>704</v>
      </c>
      <c r="AU393" s="270" t="s">
        <v>365</v>
      </c>
      <c r="AV393" s="269" t="s">
        <v>2</v>
      </c>
      <c r="AW393" s="269" t="s">
        <v>703</v>
      </c>
      <c r="AX393" s="269" t="s">
        <v>25</v>
      </c>
      <c r="AY393" s="270" t="s">
        <v>3</v>
      </c>
    </row>
    <row r="394" spans="2:65" s="108" customFormat="1">
      <c r="B394" s="112"/>
      <c r="D394" s="96" t="s">
        <v>704</v>
      </c>
      <c r="E394" s="109" t="s">
        <v>6</v>
      </c>
      <c r="F394" s="115" t="s">
        <v>2</v>
      </c>
      <c r="H394" s="114">
        <v>1</v>
      </c>
      <c r="I394" s="113"/>
      <c r="L394" s="112"/>
      <c r="M394" s="111"/>
      <c r="T394" s="110"/>
      <c r="AT394" s="109" t="s">
        <v>704</v>
      </c>
      <c r="AU394" s="109" t="s">
        <v>365</v>
      </c>
      <c r="AV394" s="108" t="s">
        <v>365</v>
      </c>
      <c r="AW394" s="108" t="s">
        <v>703</v>
      </c>
      <c r="AX394" s="108" t="s">
        <v>2</v>
      </c>
      <c r="AY394" s="109" t="s">
        <v>3</v>
      </c>
    </row>
    <row r="395" spans="2:65" s="2" customFormat="1" ht="16.5" customHeight="1">
      <c r="B395" s="3"/>
      <c r="C395" s="125" t="s">
        <v>852</v>
      </c>
      <c r="D395" s="125" t="s">
        <v>750</v>
      </c>
      <c r="E395" s="124" t="s">
        <v>2284</v>
      </c>
      <c r="F395" s="119" t="s">
        <v>2283</v>
      </c>
      <c r="G395" s="123" t="s">
        <v>722</v>
      </c>
      <c r="H395" s="122">
        <v>1</v>
      </c>
      <c r="I395" s="121"/>
      <c r="J395" s="120">
        <f>ROUND(I395*H395,2)</f>
        <v>0</v>
      </c>
      <c r="K395" s="119" t="s">
        <v>7</v>
      </c>
      <c r="L395" s="118"/>
      <c r="M395" s="117" t="s">
        <v>6</v>
      </c>
      <c r="N395" s="116" t="s">
        <v>5</v>
      </c>
      <c r="P395" s="22">
        <f>O395*H395</f>
        <v>0</v>
      </c>
      <c r="Q395" s="22">
        <v>2.3999999999999998E-3</v>
      </c>
      <c r="R395" s="22">
        <f>Q395*H395</f>
        <v>2.3999999999999998E-3</v>
      </c>
      <c r="S395" s="22">
        <v>0</v>
      </c>
      <c r="T395" s="21">
        <f>S395*H395</f>
        <v>0</v>
      </c>
      <c r="AR395" s="6" t="s">
        <v>283</v>
      </c>
      <c r="AT395" s="6" t="s">
        <v>750</v>
      </c>
      <c r="AU395" s="6" t="s">
        <v>365</v>
      </c>
      <c r="AY395" s="7" t="s">
        <v>3</v>
      </c>
      <c r="BE395" s="8">
        <f>IF(N395="základní",J395,0)</f>
        <v>0</v>
      </c>
      <c r="BF395" s="8">
        <f>IF(N395="snížená",J395,0)</f>
        <v>0</v>
      </c>
      <c r="BG395" s="8">
        <f>IF(N395="zákl. přenesená",J395,0)</f>
        <v>0</v>
      </c>
      <c r="BH395" s="8">
        <f>IF(N395="sníž. přenesená",J395,0)</f>
        <v>0</v>
      </c>
      <c r="BI395" s="8">
        <f>IF(N395="nulová",J395,0)</f>
        <v>0</v>
      </c>
      <c r="BJ395" s="7" t="s">
        <v>2</v>
      </c>
      <c r="BK395" s="8">
        <f>ROUND(I395*H395,2)</f>
        <v>0</v>
      </c>
      <c r="BL395" s="7" t="s">
        <v>328</v>
      </c>
      <c r="BM395" s="6" t="s">
        <v>2282</v>
      </c>
    </row>
    <row r="396" spans="2:65" s="2" customFormat="1" ht="21.75" customHeight="1">
      <c r="B396" s="3"/>
      <c r="C396" s="20" t="s">
        <v>196</v>
      </c>
      <c r="D396" s="20" t="s">
        <v>4</v>
      </c>
      <c r="E396" s="19" t="s">
        <v>2082</v>
      </c>
      <c r="F396" s="14" t="s">
        <v>2081</v>
      </c>
      <c r="G396" s="18" t="s">
        <v>21</v>
      </c>
      <c r="H396" s="17">
        <v>4</v>
      </c>
      <c r="I396" s="16"/>
      <c r="J396" s="15">
        <f>ROUND(I396*H396,2)</f>
        <v>0</v>
      </c>
      <c r="K396" s="14" t="s">
        <v>654</v>
      </c>
      <c r="L396" s="3"/>
      <c r="M396" s="24" t="s">
        <v>6</v>
      </c>
      <c r="N396" s="23" t="s">
        <v>5</v>
      </c>
      <c r="P396" s="22">
        <f>O396*H396</f>
        <v>0</v>
      </c>
      <c r="Q396" s="22">
        <v>8.3999999999999995E-3</v>
      </c>
      <c r="R396" s="22">
        <f>Q396*H396</f>
        <v>3.3599999999999998E-2</v>
      </c>
      <c r="S396" s="22">
        <v>0</v>
      </c>
      <c r="T396" s="21">
        <f>S396*H396</f>
        <v>0</v>
      </c>
      <c r="AR396" s="6" t="s">
        <v>328</v>
      </c>
      <c r="AT396" s="6" t="s">
        <v>4</v>
      </c>
      <c r="AU396" s="6" t="s">
        <v>365</v>
      </c>
      <c r="AY396" s="7" t="s">
        <v>3</v>
      </c>
      <c r="BE396" s="8">
        <f>IF(N396="základní",J396,0)</f>
        <v>0</v>
      </c>
      <c r="BF396" s="8">
        <f>IF(N396="snížená",J396,0)</f>
        <v>0</v>
      </c>
      <c r="BG396" s="8">
        <f>IF(N396="zákl. přenesená",J396,0)</f>
        <v>0</v>
      </c>
      <c r="BH396" s="8">
        <f>IF(N396="sníž. přenesená",J396,0)</f>
        <v>0</v>
      </c>
      <c r="BI396" s="8">
        <f>IF(N396="nulová",J396,0)</f>
        <v>0</v>
      </c>
      <c r="BJ396" s="7" t="s">
        <v>2</v>
      </c>
      <c r="BK396" s="8">
        <f>ROUND(I396*H396,2)</f>
        <v>0</v>
      </c>
      <c r="BL396" s="7" t="s">
        <v>328</v>
      </c>
      <c r="BM396" s="6" t="s">
        <v>2281</v>
      </c>
    </row>
    <row r="397" spans="2:65" s="2" customFormat="1">
      <c r="B397" s="3"/>
      <c r="D397" s="107" t="s">
        <v>651</v>
      </c>
      <c r="F397" s="106" t="s">
        <v>2079</v>
      </c>
      <c r="I397" s="94"/>
      <c r="L397" s="3"/>
      <c r="M397" s="100"/>
      <c r="T397" s="99"/>
      <c r="AT397" s="7" t="s">
        <v>651</v>
      </c>
      <c r="AU397" s="7" t="s">
        <v>365</v>
      </c>
    </row>
    <row r="398" spans="2:65" s="2" customFormat="1" ht="48.75">
      <c r="B398" s="3"/>
      <c r="D398" s="96" t="s">
        <v>731</v>
      </c>
      <c r="F398" s="95" t="s">
        <v>2073</v>
      </c>
      <c r="I398" s="94"/>
      <c r="L398" s="3"/>
      <c r="M398" s="100"/>
      <c r="T398" s="99"/>
      <c r="AT398" s="7" t="s">
        <v>731</v>
      </c>
      <c r="AU398" s="7" t="s">
        <v>365</v>
      </c>
    </row>
    <row r="399" spans="2:65" s="269" customFormat="1">
      <c r="B399" s="273"/>
      <c r="D399" s="96" t="s">
        <v>704</v>
      </c>
      <c r="E399" s="270" t="s">
        <v>6</v>
      </c>
      <c r="F399" s="275" t="s">
        <v>2256</v>
      </c>
      <c r="H399" s="270" t="s">
        <v>6</v>
      </c>
      <c r="I399" s="274"/>
      <c r="L399" s="273"/>
      <c r="M399" s="272"/>
      <c r="T399" s="271"/>
      <c r="AT399" s="270" t="s">
        <v>704</v>
      </c>
      <c r="AU399" s="270" t="s">
        <v>365</v>
      </c>
      <c r="AV399" s="269" t="s">
        <v>2</v>
      </c>
      <c r="AW399" s="269" t="s">
        <v>703</v>
      </c>
      <c r="AX399" s="269" t="s">
        <v>25</v>
      </c>
      <c r="AY399" s="270" t="s">
        <v>3</v>
      </c>
    </row>
    <row r="400" spans="2:65" s="108" customFormat="1">
      <c r="B400" s="112"/>
      <c r="D400" s="96" t="s">
        <v>704</v>
      </c>
      <c r="E400" s="109" t="s">
        <v>6</v>
      </c>
      <c r="F400" s="115" t="s">
        <v>2078</v>
      </c>
      <c r="H400" s="114">
        <v>4</v>
      </c>
      <c r="I400" s="113"/>
      <c r="L400" s="112"/>
      <c r="M400" s="111"/>
      <c r="T400" s="110"/>
      <c r="AT400" s="109" t="s">
        <v>704</v>
      </c>
      <c r="AU400" s="109" t="s">
        <v>365</v>
      </c>
      <c r="AV400" s="108" t="s">
        <v>365</v>
      </c>
      <c r="AW400" s="108" t="s">
        <v>703</v>
      </c>
      <c r="AX400" s="108" t="s">
        <v>2</v>
      </c>
      <c r="AY400" s="109" t="s">
        <v>3</v>
      </c>
    </row>
    <row r="401" spans="2:65" s="2" customFormat="1" ht="21.75" customHeight="1">
      <c r="B401" s="3"/>
      <c r="C401" s="20" t="s">
        <v>847</v>
      </c>
      <c r="D401" s="20" t="s">
        <v>4</v>
      </c>
      <c r="E401" s="19" t="s">
        <v>2077</v>
      </c>
      <c r="F401" s="14" t="s">
        <v>2076</v>
      </c>
      <c r="G401" s="18" t="s">
        <v>21</v>
      </c>
      <c r="H401" s="17">
        <v>28.4</v>
      </c>
      <c r="I401" s="16"/>
      <c r="J401" s="15">
        <f>ROUND(I401*H401,2)</f>
        <v>0</v>
      </c>
      <c r="K401" s="14" t="s">
        <v>654</v>
      </c>
      <c r="L401" s="3"/>
      <c r="M401" s="24" t="s">
        <v>6</v>
      </c>
      <c r="N401" s="23" t="s">
        <v>5</v>
      </c>
      <c r="P401" s="22">
        <f>O401*H401</f>
        <v>0</v>
      </c>
      <c r="Q401" s="22">
        <v>1.336E-2</v>
      </c>
      <c r="R401" s="22">
        <f>Q401*H401</f>
        <v>0.37942399999999998</v>
      </c>
      <c r="S401" s="22">
        <v>0</v>
      </c>
      <c r="T401" s="21">
        <f>S401*H401</f>
        <v>0</v>
      </c>
      <c r="AR401" s="6" t="s">
        <v>328</v>
      </c>
      <c r="AT401" s="6" t="s">
        <v>4</v>
      </c>
      <c r="AU401" s="6" t="s">
        <v>365</v>
      </c>
      <c r="AY401" s="7" t="s">
        <v>3</v>
      </c>
      <c r="BE401" s="8">
        <f>IF(N401="základní",J401,0)</f>
        <v>0</v>
      </c>
      <c r="BF401" s="8">
        <f>IF(N401="snížená",J401,0)</f>
        <v>0</v>
      </c>
      <c r="BG401" s="8">
        <f>IF(N401="zákl. přenesená",J401,0)</f>
        <v>0</v>
      </c>
      <c r="BH401" s="8">
        <f>IF(N401="sníž. přenesená",J401,0)</f>
        <v>0</v>
      </c>
      <c r="BI401" s="8">
        <f>IF(N401="nulová",J401,0)</f>
        <v>0</v>
      </c>
      <c r="BJ401" s="7" t="s">
        <v>2</v>
      </c>
      <c r="BK401" s="8">
        <f>ROUND(I401*H401,2)</f>
        <v>0</v>
      </c>
      <c r="BL401" s="7" t="s">
        <v>328</v>
      </c>
      <c r="BM401" s="6" t="s">
        <v>2280</v>
      </c>
    </row>
    <row r="402" spans="2:65" s="2" customFormat="1">
      <c r="B402" s="3"/>
      <c r="D402" s="107" t="s">
        <v>651</v>
      </c>
      <c r="F402" s="106" t="s">
        <v>2074</v>
      </c>
      <c r="I402" s="94"/>
      <c r="L402" s="3"/>
      <c r="M402" s="100"/>
      <c r="T402" s="99"/>
      <c r="AT402" s="7" t="s">
        <v>651</v>
      </c>
      <c r="AU402" s="7" t="s">
        <v>365</v>
      </c>
    </row>
    <row r="403" spans="2:65" s="2" customFormat="1" ht="48.75">
      <c r="B403" s="3"/>
      <c r="D403" s="96" t="s">
        <v>731</v>
      </c>
      <c r="F403" s="95" t="s">
        <v>2073</v>
      </c>
      <c r="I403" s="94"/>
      <c r="L403" s="3"/>
      <c r="M403" s="100"/>
      <c r="T403" s="99"/>
      <c r="AT403" s="7" t="s">
        <v>731</v>
      </c>
      <c r="AU403" s="7" t="s">
        <v>365</v>
      </c>
    </row>
    <row r="404" spans="2:65" s="269" customFormat="1">
      <c r="B404" s="273"/>
      <c r="D404" s="96" t="s">
        <v>704</v>
      </c>
      <c r="E404" s="270" t="s">
        <v>6</v>
      </c>
      <c r="F404" s="275" t="s">
        <v>2256</v>
      </c>
      <c r="H404" s="270" t="s">
        <v>6</v>
      </c>
      <c r="I404" s="274"/>
      <c r="L404" s="273"/>
      <c r="M404" s="272"/>
      <c r="T404" s="271"/>
      <c r="AT404" s="270" t="s">
        <v>704</v>
      </c>
      <c r="AU404" s="270" t="s">
        <v>365</v>
      </c>
      <c r="AV404" s="269" t="s">
        <v>2</v>
      </c>
      <c r="AW404" s="269" t="s">
        <v>703</v>
      </c>
      <c r="AX404" s="269" t="s">
        <v>25</v>
      </c>
      <c r="AY404" s="270" t="s">
        <v>3</v>
      </c>
    </row>
    <row r="405" spans="2:65" s="108" customFormat="1">
      <c r="B405" s="112"/>
      <c r="D405" s="96" t="s">
        <v>704</v>
      </c>
      <c r="E405" s="109" t="s">
        <v>6</v>
      </c>
      <c r="F405" s="115" t="s">
        <v>2279</v>
      </c>
      <c r="H405" s="114">
        <v>28.4</v>
      </c>
      <c r="I405" s="113"/>
      <c r="L405" s="112"/>
      <c r="M405" s="111"/>
      <c r="T405" s="110"/>
      <c r="AT405" s="109" t="s">
        <v>704</v>
      </c>
      <c r="AU405" s="109" t="s">
        <v>365</v>
      </c>
      <c r="AV405" s="108" t="s">
        <v>365</v>
      </c>
      <c r="AW405" s="108" t="s">
        <v>703</v>
      </c>
      <c r="AX405" s="108" t="s">
        <v>2</v>
      </c>
      <c r="AY405" s="109" t="s">
        <v>3</v>
      </c>
    </row>
    <row r="406" spans="2:65" s="2" customFormat="1" ht="21.75" customHeight="1">
      <c r="B406" s="3"/>
      <c r="C406" s="20" t="s">
        <v>192</v>
      </c>
      <c r="D406" s="20" t="s">
        <v>4</v>
      </c>
      <c r="E406" s="19" t="s">
        <v>2278</v>
      </c>
      <c r="F406" s="14" t="s">
        <v>2277</v>
      </c>
      <c r="G406" s="18" t="s">
        <v>21</v>
      </c>
      <c r="H406" s="17">
        <v>17.399999999999999</v>
      </c>
      <c r="I406" s="16"/>
      <c r="J406" s="15">
        <f>ROUND(I406*H406,2)</f>
        <v>0</v>
      </c>
      <c r="K406" s="14" t="s">
        <v>654</v>
      </c>
      <c r="L406" s="3"/>
      <c r="M406" s="24" t="s">
        <v>6</v>
      </c>
      <c r="N406" s="23" t="s">
        <v>5</v>
      </c>
      <c r="P406" s="22">
        <f>O406*H406</f>
        <v>0</v>
      </c>
      <c r="Q406" s="22">
        <v>1.8419999999999999E-2</v>
      </c>
      <c r="R406" s="22">
        <f>Q406*H406</f>
        <v>0.32050799999999996</v>
      </c>
      <c r="S406" s="22">
        <v>0</v>
      </c>
      <c r="T406" s="21">
        <f>S406*H406</f>
        <v>0</v>
      </c>
      <c r="AR406" s="6" t="s">
        <v>328</v>
      </c>
      <c r="AT406" s="6" t="s">
        <v>4</v>
      </c>
      <c r="AU406" s="6" t="s">
        <v>365</v>
      </c>
      <c r="AY406" s="7" t="s">
        <v>3</v>
      </c>
      <c r="BE406" s="8">
        <f>IF(N406="základní",J406,0)</f>
        <v>0</v>
      </c>
      <c r="BF406" s="8">
        <f>IF(N406="snížená",J406,0)</f>
        <v>0</v>
      </c>
      <c r="BG406" s="8">
        <f>IF(N406="zákl. přenesená",J406,0)</f>
        <v>0</v>
      </c>
      <c r="BH406" s="8">
        <f>IF(N406="sníž. přenesená",J406,0)</f>
        <v>0</v>
      </c>
      <c r="BI406" s="8">
        <f>IF(N406="nulová",J406,0)</f>
        <v>0</v>
      </c>
      <c r="BJ406" s="7" t="s">
        <v>2</v>
      </c>
      <c r="BK406" s="8">
        <f>ROUND(I406*H406,2)</f>
        <v>0</v>
      </c>
      <c r="BL406" s="7" t="s">
        <v>328</v>
      </c>
      <c r="BM406" s="6" t="s">
        <v>2276</v>
      </c>
    </row>
    <row r="407" spans="2:65" s="2" customFormat="1">
      <c r="B407" s="3"/>
      <c r="D407" s="107" t="s">
        <v>651</v>
      </c>
      <c r="F407" s="106" t="s">
        <v>2275</v>
      </c>
      <c r="I407" s="94"/>
      <c r="L407" s="3"/>
      <c r="M407" s="100"/>
      <c r="T407" s="99"/>
      <c r="AT407" s="7" t="s">
        <v>651</v>
      </c>
      <c r="AU407" s="7" t="s">
        <v>365</v>
      </c>
    </row>
    <row r="408" spans="2:65" s="2" customFormat="1" ht="48.75">
      <c r="B408" s="3"/>
      <c r="D408" s="96" t="s">
        <v>731</v>
      </c>
      <c r="F408" s="95" t="s">
        <v>2073</v>
      </c>
      <c r="I408" s="94"/>
      <c r="L408" s="3"/>
      <c r="M408" s="100"/>
      <c r="T408" s="99"/>
      <c r="AT408" s="7" t="s">
        <v>731</v>
      </c>
      <c r="AU408" s="7" t="s">
        <v>365</v>
      </c>
    </row>
    <row r="409" spans="2:65" s="269" customFormat="1">
      <c r="B409" s="273"/>
      <c r="D409" s="96" t="s">
        <v>704</v>
      </c>
      <c r="E409" s="270" t="s">
        <v>6</v>
      </c>
      <c r="F409" s="275" t="s">
        <v>2256</v>
      </c>
      <c r="H409" s="270" t="s">
        <v>6</v>
      </c>
      <c r="I409" s="274"/>
      <c r="L409" s="273"/>
      <c r="M409" s="272"/>
      <c r="T409" s="271"/>
      <c r="AT409" s="270" t="s">
        <v>704</v>
      </c>
      <c r="AU409" s="270" t="s">
        <v>365</v>
      </c>
      <c r="AV409" s="269" t="s">
        <v>2</v>
      </c>
      <c r="AW409" s="269" t="s">
        <v>703</v>
      </c>
      <c r="AX409" s="269" t="s">
        <v>25</v>
      </c>
      <c r="AY409" s="270" t="s">
        <v>3</v>
      </c>
    </row>
    <row r="410" spans="2:65" s="108" customFormat="1">
      <c r="B410" s="112"/>
      <c r="D410" s="96" t="s">
        <v>704</v>
      </c>
      <c r="E410" s="109" t="s">
        <v>6</v>
      </c>
      <c r="F410" s="115" t="s">
        <v>2274</v>
      </c>
      <c r="H410" s="114">
        <v>17.399999999999999</v>
      </c>
      <c r="I410" s="113"/>
      <c r="L410" s="112"/>
      <c r="M410" s="111"/>
      <c r="T410" s="110"/>
      <c r="AT410" s="109" t="s">
        <v>704</v>
      </c>
      <c r="AU410" s="109" t="s">
        <v>365</v>
      </c>
      <c r="AV410" s="108" t="s">
        <v>365</v>
      </c>
      <c r="AW410" s="108" t="s">
        <v>703</v>
      </c>
      <c r="AX410" s="108" t="s">
        <v>2</v>
      </c>
      <c r="AY410" s="109" t="s">
        <v>3</v>
      </c>
    </row>
    <row r="411" spans="2:65" s="2" customFormat="1" ht="21.75" customHeight="1">
      <c r="B411" s="3"/>
      <c r="C411" s="20" t="s">
        <v>842</v>
      </c>
      <c r="D411" s="20" t="s">
        <v>4</v>
      </c>
      <c r="E411" s="19" t="s">
        <v>2273</v>
      </c>
      <c r="F411" s="14" t="s">
        <v>2272</v>
      </c>
      <c r="G411" s="18" t="s">
        <v>21</v>
      </c>
      <c r="H411" s="17">
        <v>11.8</v>
      </c>
      <c r="I411" s="16"/>
      <c r="J411" s="15">
        <f>ROUND(I411*H411,2)</f>
        <v>0</v>
      </c>
      <c r="K411" s="14" t="s">
        <v>654</v>
      </c>
      <c r="L411" s="3"/>
      <c r="M411" s="24" t="s">
        <v>6</v>
      </c>
      <c r="N411" s="23" t="s">
        <v>5</v>
      </c>
      <c r="P411" s="22">
        <f>O411*H411</f>
        <v>0</v>
      </c>
      <c r="Q411" s="22">
        <v>2.6689999999999998E-2</v>
      </c>
      <c r="R411" s="22">
        <f>Q411*H411</f>
        <v>0.314942</v>
      </c>
      <c r="S411" s="22">
        <v>0</v>
      </c>
      <c r="T411" s="21">
        <f>S411*H411</f>
        <v>0</v>
      </c>
      <c r="AR411" s="6" t="s">
        <v>328</v>
      </c>
      <c r="AT411" s="6" t="s">
        <v>4</v>
      </c>
      <c r="AU411" s="6" t="s">
        <v>365</v>
      </c>
      <c r="AY411" s="7" t="s">
        <v>3</v>
      </c>
      <c r="BE411" s="8">
        <f>IF(N411="základní",J411,0)</f>
        <v>0</v>
      </c>
      <c r="BF411" s="8">
        <f>IF(N411="snížená",J411,0)</f>
        <v>0</v>
      </c>
      <c r="BG411" s="8">
        <f>IF(N411="zákl. přenesená",J411,0)</f>
        <v>0</v>
      </c>
      <c r="BH411" s="8">
        <f>IF(N411="sníž. přenesená",J411,0)</f>
        <v>0</v>
      </c>
      <c r="BI411" s="8">
        <f>IF(N411="nulová",J411,0)</f>
        <v>0</v>
      </c>
      <c r="BJ411" s="7" t="s">
        <v>2</v>
      </c>
      <c r="BK411" s="8">
        <f>ROUND(I411*H411,2)</f>
        <v>0</v>
      </c>
      <c r="BL411" s="7" t="s">
        <v>328</v>
      </c>
      <c r="BM411" s="6" t="s">
        <v>2271</v>
      </c>
    </row>
    <row r="412" spans="2:65" s="2" customFormat="1">
      <c r="B412" s="3"/>
      <c r="D412" s="107" t="s">
        <v>651</v>
      </c>
      <c r="F412" s="106" t="s">
        <v>2270</v>
      </c>
      <c r="I412" s="94"/>
      <c r="L412" s="3"/>
      <c r="M412" s="100"/>
      <c r="T412" s="99"/>
      <c r="AT412" s="7" t="s">
        <v>651</v>
      </c>
      <c r="AU412" s="7" t="s">
        <v>365</v>
      </c>
    </row>
    <row r="413" spans="2:65" s="2" customFormat="1" ht="48.75">
      <c r="B413" s="3"/>
      <c r="D413" s="96" t="s">
        <v>731</v>
      </c>
      <c r="F413" s="95" t="s">
        <v>2073</v>
      </c>
      <c r="I413" s="94"/>
      <c r="L413" s="3"/>
      <c r="M413" s="100"/>
      <c r="T413" s="99"/>
      <c r="AT413" s="7" t="s">
        <v>731</v>
      </c>
      <c r="AU413" s="7" t="s">
        <v>365</v>
      </c>
    </row>
    <row r="414" spans="2:65" s="269" customFormat="1">
      <c r="B414" s="273"/>
      <c r="D414" s="96" t="s">
        <v>704</v>
      </c>
      <c r="E414" s="270" t="s">
        <v>6</v>
      </c>
      <c r="F414" s="275" t="s">
        <v>2256</v>
      </c>
      <c r="H414" s="270" t="s">
        <v>6</v>
      </c>
      <c r="I414" s="274"/>
      <c r="L414" s="273"/>
      <c r="M414" s="272"/>
      <c r="T414" s="271"/>
      <c r="AT414" s="270" t="s">
        <v>704</v>
      </c>
      <c r="AU414" s="270" t="s">
        <v>365</v>
      </c>
      <c r="AV414" s="269" t="s">
        <v>2</v>
      </c>
      <c r="AW414" s="269" t="s">
        <v>703</v>
      </c>
      <c r="AX414" s="269" t="s">
        <v>25</v>
      </c>
      <c r="AY414" s="270" t="s">
        <v>3</v>
      </c>
    </row>
    <row r="415" spans="2:65" s="108" customFormat="1">
      <c r="B415" s="112"/>
      <c r="D415" s="96" t="s">
        <v>704</v>
      </c>
      <c r="E415" s="109" t="s">
        <v>6</v>
      </c>
      <c r="F415" s="115" t="s">
        <v>2269</v>
      </c>
      <c r="H415" s="114">
        <v>11.8</v>
      </c>
      <c r="I415" s="113"/>
      <c r="L415" s="112"/>
      <c r="M415" s="111"/>
      <c r="T415" s="110"/>
      <c r="AT415" s="109" t="s">
        <v>704</v>
      </c>
      <c r="AU415" s="109" t="s">
        <v>365</v>
      </c>
      <c r="AV415" s="108" t="s">
        <v>365</v>
      </c>
      <c r="AW415" s="108" t="s">
        <v>703</v>
      </c>
      <c r="AX415" s="108" t="s">
        <v>2</v>
      </c>
      <c r="AY415" s="109" t="s">
        <v>3</v>
      </c>
    </row>
    <row r="416" spans="2:65" s="2" customFormat="1" ht="21.75" customHeight="1">
      <c r="B416" s="3"/>
      <c r="C416" s="20" t="s">
        <v>188</v>
      </c>
      <c r="D416" s="20" t="s">
        <v>4</v>
      </c>
      <c r="E416" s="19" t="s">
        <v>2268</v>
      </c>
      <c r="F416" s="14" t="s">
        <v>2267</v>
      </c>
      <c r="G416" s="18" t="s">
        <v>21</v>
      </c>
      <c r="H416" s="17">
        <v>6.3</v>
      </c>
      <c r="I416" s="16"/>
      <c r="J416" s="15">
        <f>ROUND(I416*H416,2)</f>
        <v>0</v>
      </c>
      <c r="K416" s="14" t="s">
        <v>654</v>
      </c>
      <c r="L416" s="3"/>
      <c r="M416" s="24" t="s">
        <v>6</v>
      </c>
      <c r="N416" s="23" t="s">
        <v>5</v>
      </c>
      <c r="P416" s="22">
        <f>O416*H416</f>
        <v>0</v>
      </c>
      <c r="Q416" s="22">
        <v>4.4339999999999997E-2</v>
      </c>
      <c r="R416" s="22">
        <f>Q416*H416</f>
        <v>0.27934199999999998</v>
      </c>
      <c r="S416" s="22">
        <v>0</v>
      </c>
      <c r="T416" s="21">
        <f>S416*H416</f>
        <v>0</v>
      </c>
      <c r="AR416" s="6" t="s">
        <v>328</v>
      </c>
      <c r="AT416" s="6" t="s">
        <v>4</v>
      </c>
      <c r="AU416" s="6" t="s">
        <v>365</v>
      </c>
      <c r="AY416" s="7" t="s">
        <v>3</v>
      </c>
      <c r="BE416" s="8">
        <f>IF(N416="základní",J416,0)</f>
        <v>0</v>
      </c>
      <c r="BF416" s="8">
        <f>IF(N416="snížená",J416,0)</f>
        <v>0</v>
      </c>
      <c r="BG416" s="8">
        <f>IF(N416="zákl. přenesená",J416,0)</f>
        <v>0</v>
      </c>
      <c r="BH416" s="8">
        <f>IF(N416="sníž. přenesená",J416,0)</f>
        <v>0</v>
      </c>
      <c r="BI416" s="8">
        <f>IF(N416="nulová",J416,0)</f>
        <v>0</v>
      </c>
      <c r="BJ416" s="7" t="s">
        <v>2</v>
      </c>
      <c r="BK416" s="8">
        <f>ROUND(I416*H416,2)</f>
        <v>0</v>
      </c>
      <c r="BL416" s="7" t="s">
        <v>328</v>
      </c>
      <c r="BM416" s="6" t="s">
        <v>2266</v>
      </c>
    </row>
    <row r="417" spans="2:65" s="2" customFormat="1">
      <c r="B417" s="3"/>
      <c r="D417" s="107" t="s">
        <v>651</v>
      </c>
      <c r="F417" s="106" t="s">
        <v>2265</v>
      </c>
      <c r="I417" s="94"/>
      <c r="L417" s="3"/>
      <c r="M417" s="100"/>
      <c r="T417" s="99"/>
      <c r="AT417" s="7" t="s">
        <v>651</v>
      </c>
      <c r="AU417" s="7" t="s">
        <v>365</v>
      </c>
    </row>
    <row r="418" spans="2:65" s="2" customFormat="1" ht="48.75">
      <c r="B418" s="3"/>
      <c r="D418" s="96" t="s">
        <v>731</v>
      </c>
      <c r="F418" s="95" t="s">
        <v>2073</v>
      </c>
      <c r="I418" s="94"/>
      <c r="L418" s="3"/>
      <c r="M418" s="100"/>
      <c r="T418" s="99"/>
      <c r="AT418" s="7" t="s">
        <v>731</v>
      </c>
      <c r="AU418" s="7" t="s">
        <v>365</v>
      </c>
    </row>
    <row r="419" spans="2:65" s="269" customFormat="1">
      <c r="B419" s="273"/>
      <c r="D419" s="96" t="s">
        <v>704</v>
      </c>
      <c r="E419" s="270" t="s">
        <v>6</v>
      </c>
      <c r="F419" s="275" t="s">
        <v>2256</v>
      </c>
      <c r="H419" s="270" t="s">
        <v>6</v>
      </c>
      <c r="I419" s="274"/>
      <c r="L419" s="273"/>
      <c r="M419" s="272"/>
      <c r="T419" s="271"/>
      <c r="AT419" s="270" t="s">
        <v>704</v>
      </c>
      <c r="AU419" s="270" t="s">
        <v>365</v>
      </c>
      <c r="AV419" s="269" t="s">
        <v>2</v>
      </c>
      <c r="AW419" s="269" t="s">
        <v>703</v>
      </c>
      <c r="AX419" s="269" t="s">
        <v>25</v>
      </c>
      <c r="AY419" s="270" t="s">
        <v>3</v>
      </c>
    </row>
    <row r="420" spans="2:65" s="108" customFormat="1">
      <c r="B420" s="112"/>
      <c r="D420" s="96" t="s">
        <v>704</v>
      </c>
      <c r="E420" s="109" t="s">
        <v>6</v>
      </c>
      <c r="F420" s="115" t="s">
        <v>2264</v>
      </c>
      <c r="H420" s="114">
        <v>6.3</v>
      </c>
      <c r="I420" s="113"/>
      <c r="L420" s="112"/>
      <c r="M420" s="111"/>
      <c r="T420" s="110"/>
      <c r="AT420" s="109" t="s">
        <v>704</v>
      </c>
      <c r="AU420" s="109" t="s">
        <v>365</v>
      </c>
      <c r="AV420" s="108" t="s">
        <v>365</v>
      </c>
      <c r="AW420" s="108" t="s">
        <v>703</v>
      </c>
      <c r="AX420" s="108" t="s">
        <v>2</v>
      </c>
      <c r="AY420" s="109" t="s">
        <v>3</v>
      </c>
    </row>
    <row r="421" spans="2:65" s="2" customFormat="1" ht="16.5" customHeight="1">
      <c r="B421" s="3"/>
      <c r="C421" s="20" t="s">
        <v>837</v>
      </c>
      <c r="D421" s="20" t="s">
        <v>4</v>
      </c>
      <c r="E421" s="19" t="s">
        <v>2263</v>
      </c>
      <c r="F421" s="14" t="s">
        <v>2262</v>
      </c>
      <c r="G421" s="18" t="s">
        <v>722</v>
      </c>
      <c r="H421" s="17">
        <v>1</v>
      </c>
      <c r="I421" s="16"/>
      <c r="J421" s="15">
        <f>ROUND(I421*H421,2)</f>
        <v>0</v>
      </c>
      <c r="K421" s="14" t="s">
        <v>7</v>
      </c>
      <c r="L421" s="3"/>
      <c r="M421" s="24" t="s">
        <v>6</v>
      </c>
      <c r="N421" s="23" t="s">
        <v>5</v>
      </c>
      <c r="P421" s="22">
        <f>O421*H421</f>
        <v>0</v>
      </c>
      <c r="Q421" s="22">
        <v>1E-4</v>
      </c>
      <c r="R421" s="22">
        <f>Q421*H421</f>
        <v>1E-4</v>
      </c>
      <c r="S421" s="22">
        <v>0</v>
      </c>
      <c r="T421" s="21">
        <f>S421*H421</f>
        <v>0</v>
      </c>
      <c r="AR421" s="6" t="s">
        <v>328</v>
      </c>
      <c r="AT421" s="6" t="s">
        <v>4</v>
      </c>
      <c r="AU421" s="6" t="s">
        <v>365</v>
      </c>
      <c r="AY421" s="7" t="s">
        <v>3</v>
      </c>
      <c r="BE421" s="8">
        <f>IF(N421="základní",J421,0)</f>
        <v>0</v>
      </c>
      <c r="BF421" s="8">
        <f>IF(N421="snížená",J421,0)</f>
        <v>0</v>
      </c>
      <c r="BG421" s="8">
        <f>IF(N421="zákl. přenesená",J421,0)</f>
        <v>0</v>
      </c>
      <c r="BH421" s="8">
        <f>IF(N421="sníž. přenesená",J421,0)</f>
        <v>0</v>
      </c>
      <c r="BI421" s="8">
        <f>IF(N421="nulová",J421,0)</f>
        <v>0</v>
      </c>
      <c r="BJ421" s="7" t="s">
        <v>2</v>
      </c>
      <c r="BK421" s="8">
        <f>ROUND(I421*H421,2)</f>
        <v>0</v>
      </c>
      <c r="BL421" s="7" t="s">
        <v>328</v>
      </c>
      <c r="BM421" s="6" t="s">
        <v>2261</v>
      </c>
    </row>
    <row r="422" spans="2:65" s="2" customFormat="1" ht="48.75">
      <c r="B422" s="3"/>
      <c r="D422" s="96" t="s">
        <v>731</v>
      </c>
      <c r="F422" s="95" t="s">
        <v>2073</v>
      </c>
      <c r="I422" s="94"/>
      <c r="L422" s="3"/>
      <c r="M422" s="100"/>
      <c r="T422" s="99"/>
      <c r="AT422" s="7" t="s">
        <v>731</v>
      </c>
      <c r="AU422" s="7" t="s">
        <v>365</v>
      </c>
    </row>
    <row r="423" spans="2:65" s="269" customFormat="1">
      <c r="B423" s="273"/>
      <c r="D423" s="96" t="s">
        <v>704</v>
      </c>
      <c r="E423" s="270" t="s">
        <v>6</v>
      </c>
      <c r="F423" s="275" t="s">
        <v>2256</v>
      </c>
      <c r="H423" s="270" t="s">
        <v>6</v>
      </c>
      <c r="I423" s="274"/>
      <c r="L423" s="273"/>
      <c r="M423" s="272"/>
      <c r="T423" s="271"/>
      <c r="AT423" s="270" t="s">
        <v>704</v>
      </c>
      <c r="AU423" s="270" t="s">
        <v>365</v>
      </c>
      <c r="AV423" s="269" t="s">
        <v>2</v>
      </c>
      <c r="AW423" s="269" t="s">
        <v>703</v>
      </c>
      <c r="AX423" s="269" t="s">
        <v>25</v>
      </c>
      <c r="AY423" s="270" t="s">
        <v>3</v>
      </c>
    </row>
    <row r="424" spans="2:65" s="108" customFormat="1">
      <c r="B424" s="112"/>
      <c r="D424" s="96" t="s">
        <v>704</v>
      </c>
      <c r="E424" s="109" t="s">
        <v>6</v>
      </c>
      <c r="F424" s="115" t="s">
        <v>2</v>
      </c>
      <c r="H424" s="114">
        <v>1</v>
      </c>
      <c r="I424" s="113"/>
      <c r="L424" s="112"/>
      <c r="M424" s="111"/>
      <c r="T424" s="110"/>
      <c r="AT424" s="109" t="s">
        <v>704</v>
      </c>
      <c r="AU424" s="109" t="s">
        <v>365</v>
      </c>
      <c r="AV424" s="108" t="s">
        <v>365</v>
      </c>
      <c r="AW424" s="108" t="s">
        <v>703</v>
      </c>
      <c r="AX424" s="108" t="s">
        <v>2</v>
      </c>
      <c r="AY424" s="109" t="s">
        <v>3</v>
      </c>
    </row>
    <row r="425" spans="2:65" s="2" customFormat="1" ht="24.2" customHeight="1">
      <c r="B425" s="3"/>
      <c r="C425" s="20" t="s">
        <v>184</v>
      </c>
      <c r="D425" s="20" t="s">
        <v>4</v>
      </c>
      <c r="E425" s="19" t="s">
        <v>2260</v>
      </c>
      <c r="F425" s="14" t="s">
        <v>2259</v>
      </c>
      <c r="G425" s="18" t="s">
        <v>21</v>
      </c>
      <c r="H425" s="17">
        <v>4</v>
      </c>
      <c r="I425" s="16"/>
      <c r="J425" s="15">
        <f>ROUND(I425*H425,2)</f>
        <v>0</v>
      </c>
      <c r="K425" s="14" t="s">
        <v>654</v>
      </c>
      <c r="L425" s="3"/>
      <c r="M425" s="24" t="s">
        <v>6</v>
      </c>
      <c r="N425" s="23" t="s">
        <v>5</v>
      </c>
      <c r="P425" s="22">
        <f>O425*H425</f>
        <v>0</v>
      </c>
      <c r="Q425" s="22">
        <v>3.4399999999999999E-3</v>
      </c>
      <c r="R425" s="22">
        <f>Q425*H425</f>
        <v>1.376E-2</v>
      </c>
      <c r="S425" s="22">
        <v>0</v>
      </c>
      <c r="T425" s="21">
        <f>S425*H425</f>
        <v>0</v>
      </c>
      <c r="AR425" s="6" t="s">
        <v>328</v>
      </c>
      <c r="AT425" s="6" t="s">
        <v>4</v>
      </c>
      <c r="AU425" s="6" t="s">
        <v>365</v>
      </c>
      <c r="AY425" s="7" t="s">
        <v>3</v>
      </c>
      <c r="BE425" s="8">
        <f>IF(N425="základní",J425,0)</f>
        <v>0</v>
      </c>
      <c r="BF425" s="8">
        <f>IF(N425="snížená",J425,0)</f>
        <v>0</v>
      </c>
      <c r="BG425" s="8">
        <f>IF(N425="zákl. přenesená",J425,0)</f>
        <v>0</v>
      </c>
      <c r="BH425" s="8">
        <f>IF(N425="sníž. přenesená",J425,0)</f>
        <v>0</v>
      </c>
      <c r="BI425" s="8">
        <f>IF(N425="nulová",J425,0)</f>
        <v>0</v>
      </c>
      <c r="BJ425" s="7" t="s">
        <v>2</v>
      </c>
      <c r="BK425" s="8">
        <f>ROUND(I425*H425,2)</f>
        <v>0</v>
      </c>
      <c r="BL425" s="7" t="s">
        <v>328</v>
      </c>
      <c r="BM425" s="6" t="s">
        <v>2258</v>
      </c>
    </row>
    <row r="426" spans="2:65" s="2" customFormat="1">
      <c r="B426" s="3"/>
      <c r="D426" s="107" t="s">
        <v>651</v>
      </c>
      <c r="F426" s="106" t="s">
        <v>2257</v>
      </c>
      <c r="I426" s="94"/>
      <c r="L426" s="3"/>
      <c r="M426" s="100"/>
      <c r="T426" s="99"/>
      <c r="AT426" s="7" t="s">
        <v>651</v>
      </c>
      <c r="AU426" s="7" t="s">
        <v>365</v>
      </c>
    </row>
    <row r="427" spans="2:65" s="2" customFormat="1" ht="48.75">
      <c r="B427" s="3"/>
      <c r="D427" s="96" t="s">
        <v>731</v>
      </c>
      <c r="F427" s="95" t="s">
        <v>2073</v>
      </c>
      <c r="I427" s="94"/>
      <c r="L427" s="3"/>
      <c r="M427" s="100"/>
      <c r="T427" s="99"/>
      <c r="AT427" s="7" t="s">
        <v>731</v>
      </c>
      <c r="AU427" s="7" t="s">
        <v>365</v>
      </c>
    </row>
    <row r="428" spans="2:65" s="269" customFormat="1">
      <c r="B428" s="273"/>
      <c r="D428" s="96" t="s">
        <v>704</v>
      </c>
      <c r="E428" s="270" t="s">
        <v>6</v>
      </c>
      <c r="F428" s="275" t="s">
        <v>2256</v>
      </c>
      <c r="H428" s="270" t="s">
        <v>6</v>
      </c>
      <c r="I428" s="274"/>
      <c r="L428" s="273"/>
      <c r="M428" s="272"/>
      <c r="T428" s="271"/>
      <c r="AT428" s="270" t="s">
        <v>704</v>
      </c>
      <c r="AU428" s="270" t="s">
        <v>365</v>
      </c>
      <c r="AV428" s="269" t="s">
        <v>2</v>
      </c>
      <c r="AW428" s="269" t="s">
        <v>703</v>
      </c>
      <c r="AX428" s="269" t="s">
        <v>25</v>
      </c>
      <c r="AY428" s="270" t="s">
        <v>3</v>
      </c>
    </row>
    <row r="429" spans="2:65" s="108" customFormat="1">
      <c r="B429" s="112"/>
      <c r="D429" s="96" t="s">
        <v>704</v>
      </c>
      <c r="E429" s="109" t="s">
        <v>6</v>
      </c>
      <c r="F429" s="115" t="s">
        <v>2078</v>
      </c>
      <c r="H429" s="114">
        <v>4</v>
      </c>
      <c r="I429" s="113"/>
      <c r="L429" s="112"/>
      <c r="M429" s="111"/>
      <c r="T429" s="110"/>
      <c r="AT429" s="109" t="s">
        <v>704</v>
      </c>
      <c r="AU429" s="109" t="s">
        <v>365</v>
      </c>
      <c r="AV429" s="108" t="s">
        <v>365</v>
      </c>
      <c r="AW429" s="108" t="s">
        <v>703</v>
      </c>
      <c r="AX429" s="108" t="s">
        <v>2</v>
      </c>
      <c r="AY429" s="109" t="s">
        <v>3</v>
      </c>
    </row>
    <row r="430" spans="2:65" s="2" customFormat="1" ht="16.5" customHeight="1">
      <c r="B430" s="3"/>
      <c r="C430" s="20" t="s">
        <v>829</v>
      </c>
      <c r="D430" s="20" t="s">
        <v>4</v>
      </c>
      <c r="E430" s="19" t="s">
        <v>2255</v>
      </c>
      <c r="F430" s="14" t="s">
        <v>2254</v>
      </c>
      <c r="G430" s="18" t="s">
        <v>714</v>
      </c>
      <c r="H430" s="17">
        <v>1</v>
      </c>
      <c r="I430" s="16"/>
      <c r="J430" s="15">
        <f>ROUND(I430*H430,2)</f>
        <v>0</v>
      </c>
      <c r="K430" s="14" t="s">
        <v>7</v>
      </c>
      <c r="L430" s="3"/>
      <c r="M430" s="24" t="s">
        <v>6</v>
      </c>
      <c r="N430" s="23" t="s">
        <v>5</v>
      </c>
      <c r="P430" s="22">
        <f>O430*H430</f>
        <v>0</v>
      </c>
      <c r="Q430" s="22">
        <v>0</v>
      </c>
      <c r="R430" s="22">
        <f>Q430*H430</f>
        <v>0</v>
      </c>
      <c r="S430" s="22">
        <v>0</v>
      </c>
      <c r="T430" s="21">
        <f>S430*H430</f>
        <v>0</v>
      </c>
      <c r="AR430" s="6" t="s">
        <v>328</v>
      </c>
      <c r="AT430" s="6" t="s">
        <v>4</v>
      </c>
      <c r="AU430" s="6" t="s">
        <v>365</v>
      </c>
      <c r="AY430" s="7" t="s">
        <v>3</v>
      </c>
      <c r="BE430" s="8">
        <f>IF(N430="základní",J430,0)</f>
        <v>0</v>
      </c>
      <c r="BF430" s="8">
        <f>IF(N430="snížená",J430,0)</f>
        <v>0</v>
      </c>
      <c r="BG430" s="8">
        <f>IF(N430="zákl. přenesená",J430,0)</f>
        <v>0</v>
      </c>
      <c r="BH430" s="8">
        <f>IF(N430="sníž. přenesená",J430,0)</f>
        <v>0</v>
      </c>
      <c r="BI430" s="8">
        <f>IF(N430="nulová",J430,0)</f>
        <v>0</v>
      </c>
      <c r="BJ430" s="7" t="s">
        <v>2</v>
      </c>
      <c r="BK430" s="8">
        <f>ROUND(I430*H430,2)</f>
        <v>0</v>
      </c>
      <c r="BL430" s="7" t="s">
        <v>328</v>
      </c>
      <c r="BM430" s="6" t="s">
        <v>2253</v>
      </c>
    </row>
    <row r="431" spans="2:65" s="2" customFormat="1" ht="16.5" customHeight="1">
      <c r="B431" s="3"/>
      <c r="C431" s="20" t="s">
        <v>180</v>
      </c>
      <c r="D431" s="20" t="s">
        <v>4</v>
      </c>
      <c r="E431" s="19" t="s">
        <v>2252</v>
      </c>
      <c r="F431" s="14" t="s">
        <v>2251</v>
      </c>
      <c r="G431" s="18" t="s">
        <v>1075</v>
      </c>
      <c r="H431" s="17">
        <v>12</v>
      </c>
      <c r="I431" s="16"/>
      <c r="J431" s="15">
        <f>ROUND(I431*H431,2)</f>
        <v>0</v>
      </c>
      <c r="K431" s="14" t="s">
        <v>7</v>
      </c>
      <c r="L431" s="3"/>
      <c r="M431" s="24" t="s">
        <v>6</v>
      </c>
      <c r="N431" s="23" t="s">
        <v>5</v>
      </c>
      <c r="P431" s="22">
        <f>O431*H431</f>
        <v>0</v>
      </c>
      <c r="Q431" s="22">
        <v>0</v>
      </c>
      <c r="R431" s="22">
        <f>Q431*H431</f>
        <v>0</v>
      </c>
      <c r="S431" s="22">
        <v>0</v>
      </c>
      <c r="T431" s="21">
        <f>S431*H431</f>
        <v>0</v>
      </c>
      <c r="AR431" s="6" t="s">
        <v>328</v>
      </c>
      <c r="AT431" s="6" t="s">
        <v>4</v>
      </c>
      <c r="AU431" s="6" t="s">
        <v>365</v>
      </c>
      <c r="AY431" s="7" t="s">
        <v>3</v>
      </c>
      <c r="BE431" s="8">
        <f>IF(N431="základní",J431,0)</f>
        <v>0</v>
      </c>
      <c r="BF431" s="8">
        <f>IF(N431="snížená",J431,0)</f>
        <v>0</v>
      </c>
      <c r="BG431" s="8">
        <f>IF(N431="zákl. přenesená",J431,0)</f>
        <v>0</v>
      </c>
      <c r="BH431" s="8">
        <f>IF(N431="sníž. přenesená",J431,0)</f>
        <v>0</v>
      </c>
      <c r="BI431" s="8">
        <f>IF(N431="nulová",J431,0)</f>
        <v>0</v>
      </c>
      <c r="BJ431" s="7" t="s">
        <v>2</v>
      </c>
      <c r="BK431" s="8">
        <f>ROUND(I431*H431,2)</f>
        <v>0</v>
      </c>
      <c r="BL431" s="7" t="s">
        <v>328</v>
      </c>
      <c r="BM431" s="6" t="s">
        <v>2250</v>
      </c>
    </row>
    <row r="432" spans="2:65" s="2" customFormat="1" ht="24.2" customHeight="1">
      <c r="B432" s="3"/>
      <c r="C432" s="20" t="s">
        <v>821</v>
      </c>
      <c r="D432" s="20" t="s">
        <v>4</v>
      </c>
      <c r="E432" s="19" t="s">
        <v>2067</v>
      </c>
      <c r="F432" s="14" t="s">
        <v>2066</v>
      </c>
      <c r="G432" s="18" t="s">
        <v>735</v>
      </c>
      <c r="H432" s="17">
        <v>2.8849999999999998</v>
      </c>
      <c r="I432" s="16"/>
      <c r="J432" s="15">
        <f>ROUND(I432*H432,2)</f>
        <v>0</v>
      </c>
      <c r="K432" s="14" t="s">
        <v>654</v>
      </c>
      <c r="L432" s="3"/>
      <c r="M432" s="24" t="s">
        <v>6</v>
      </c>
      <c r="N432" s="23" t="s">
        <v>5</v>
      </c>
      <c r="P432" s="22">
        <f>O432*H432</f>
        <v>0</v>
      </c>
      <c r="Q432" s="22">
        <v>0</v>
      </c>
      <c r="R432" s="22">
        <f>Q432*H432</f>
        <v>0</v>
      </c>
      <c r="S432" s="22">
        <v>0</v>
      </c>
      <c r="T432" s="21">
        <f>S432*H432</f>
        <v>0</v>
      </c>
      <c r="AR432" s="6" t="s">
        <v>328</v>
      </c>
      <c r="AT432" s="6" t="s">
        <v>4</v>
      </c>
      <c r="AU432" s="6" t="s">
        <v>365</v>
      </c>
      <c r="AY432" s="7" t="s">
        <v>3</v>
      </c>
      <c r="BE432" s="8">
        <f>IF(N432="základní",J432,0)</f>
        <v>0</v>
      </c>
      <c r="BF432" s="8">
        <f>IF(N432="snížená",J432,0)</f>
        <v>0</v>
      </c>
      <c r="BG432" s="8">
        <f>IF(N432="zákl. přenesená",J432,0)</f>
        <v>0</v>
      </c>
      <c r="BH432" s="8">
        <f>IF(N432="sníž. přenesená",J432,0)</f>
        <v>0</v>
      </c>
      <c r="BI432" s="8">
        <f>IF(N432="nulová",J432,0)</f>
        <v>0</v>
      </c>
      <c r="BJ432" s="7" t="s">
        <v>2</v>
      </c>
      <c r="BK432" s="8">
        <f>ROUND(I432*H432,2)</f>
        <v>0</v>
      </c>
      <c r="BL432" s="7" t="s">
        <v>328</v>
      </c>
      <c r="BM432" s="6" t="s">
        <v>2249</v>
      </c>
    </row>
    <row r="433" spans="2:65" s="2" customFormat="1">
      <c r="B433" s="3"/>
      <c r="D433" s="107" t="s">
        <v>651</v>
      </c>
      <c r="F433" s="106" t="s">
        <v>2064</v>
      </c>
      <c r="I433" s="94"/>
      <c r="L433" s="3"/>
      <c r="M433" s="100"/>
      <c r="T433" s="99"/>
      <c r="AT433" s="7" t="s">
        <v>651</v>
      </c>
      <c r="AU433" s="7" t="s">
        <v>365</v>
      </c>
    </row>
    <row r="434" spans="2:65" s="2" customFormat="1" ht="78">
      <c r="B434" s="3"/>
      <c r="D434" s="96" t="s">
        <v>731</v>
      </c>
      <c r="F434" s="95" t="s">
        <v>2059</v>
      </c>
      <c r="I434" s="94"/>
      <c r="L434" s="3"/>
      <c r="M434" s="100"/>
      <c r="T434" s="99"/>
      <c r="AT434" s="7" t="s">
        <v>731</v>
      </c>
      <c r="AU434" s="7" t="s">
        <v>365</v>
      </c>
    </row>
    <row r="435" spans="2:65" s="2" customFormat="1" ht="24.2" customHeight="1">
      <c r="B435" s="3"/>
      <c r="C435" s="20" t="s">
        <v>177</v>
      </c>
      <c r="D435" s="20" t="s">
        <v>4</v>
      </c>
      <c r="E435" s="19" t="s">
        <v>2063</v>
      </c>
      <c r="F435" s="14" t="s">
        <v>2062</v>
      </c>
      <c r="G435" s="18" t="s">
        <v>735</v>
      </c>
      <c r="H435" s="17">
        <v>2.8849999999999998</v>
      </c>
      <c r="I435" s="16"/>
      <c r="J435" s="15">
        <f>ROUND(I435*H435,2)</f>
        <v>0</v>
      </c>
      <c r="K435" s="14" t="s">
        <v>654</v>
      </c>
      <c r="L435" s="3"/>
      <c r="M435" s="24" t="s">
        <v>6</v>
      </c>
      <c r="N435" s="23" t="s">
        <v>5</v>
      </c>
      <c r="P435" s="22">
        <f>O435*H435</f>
        <v>0</v>
      </c>
      <c r="Q435" s="22">
        <v>0</v>
      </c>
      <c r="R435" s="22">
        <f>Q435*H435</f>
        <v>0</v>
      </c>
      <c r="S435" s="22">
        <v>0</v>
      </c>
      <c r="T435" s="21">
        <f>S435*H435</f>
        <v>0</v>
      </c>
      <c r="AR435" s="6" t="s">
        <v>328</v>
      </c>
      <c r="AT435" s="6" t="s">
        <v>4</v>
      </c>
      <c r="AU435" s="6" t="s">
        <v>365</v>
      </c>
      <c r="AY435" s="7" t="s">
        <v>3</v>
      </c>
      <c r="BE435" s="8">
        <f>IF(N435="základní",J435,0)</f>
        <v>0</v>
      </c>
      <c r="BF435" s="8">
        <f>IF(N435="snížená",J435,0)</f>
        <v>0</v>
      </c>
      <c r="BG435" s="8">
        <f>IF(N435="zákl. přenesená",J435,0)</f>
        <v>0</v>
      </c>
      <c r="BH435" s="8">
        <f>IF(N435="sníž. přenesená",J435,0)</f>
        <v>0</v>
      </c>
      <c r="BI435" s="8">
        <f>IF(N435="nulová",J435,0)</f>
        <v>0</v>
      </c>
      <c r="BJ435" s="7" t="s">
        <v>2</v>
      </c>
      <c r="BK435" s="8">
        <f>ROUND(I435*H435,2)</f>
        <v>0</v>
      </c>
      <c r="BL435" s="7" t="s">
        <v>328</v>
      </c>
      <c r="BM435" s="6" t="s">
        <v>2248</v>
      </c>
    </row>
    <row r="436" spans="2:65" s="2" customFormat="1">
      <c r="B436" s="3"/>
      <c r="D436" s="107" t="s">
        <v>651</v>
      </c>
      <c r="F436" s="106" t="s">
        <v>2060</v>
      </c>
      <c r="I436" s="94"/>
      <c r="L436" s="3"/>
      <c r="M436" s="100"/>
      <c r="T436" s="99"/>
      <c r="AT436" s="7" t="s">
        <v>651</v>
      </c>
      <c r="AU436" s="7" t="s">
        <v>365</v>
      </c>
    </row>
    <row r="437" spans="2:65" s="2" customFormat="1" ht="78">
      <c r="B437" s="3"/>
      <c r="D437" s="96" t="s">
        <v>731</v>
      </c>
      <c r="F437" s="95" t="s">
        <v>2059</v>
      </c>
      <c r="I437" s="94"/>
      <c r="L437" s="3"/>
      <c r="M437" s="100"/>
      <c r="T437" s="99"/>
      <c r="AT437" s="7" t="s">
        <v>731</v>
      </c>
      <c r="AU437" s="7" t="s">
        <v>365</v>
      </c>
    </row>
    <row r="438" spans="2:65" s="2" customFormat="1" ht="24.2" customHeight="1">
      <c r="B438" s="3"/>
      <c r="C438" s="20" t="s">
        <v>813</v>
      </c>
      <c r="D438" s="20" t="s">
        <v>4</v>
      </c>
      <c r="E438" s="19" t="s">
        <v>2247</v>
      </c>
      <c r="F438" s="14" t="s">
        <v>2246</v>
      </c>
      <c r="G438" s="18" t="s">
        <v>21</v>
      </c>
      <c r="H438" s="17">
        <v>11.4</v>
      </c>
      <c r="I438" s="16"/>
      <c r="J438" s="15">
        <f>ROUND(I438*H438,2)</f>
        <v>0</v>
      </c>
      <c r="K438" s="14" t="s">
        <v>654</v>
      </c>
      <c r="L438" s="3"/>
      <c r="M438" s="24" t="s">
        <v>6</v>
      </c>
      <c r="N438" s="23" t="s">
        <v>5</v>
      </c>
      <c r="P438" s="22">
        <f>O438*H438</f>
        <v>0</v>
      </c>
      <c r="Q438" s="22">
        <v>0</v>
      </c>
      <c r="R438" s="22">
        <f>Q438*H438</f>
        <v>0</v>
      </c>
      <c r="S438" s="22">
        <v>4.5799999999999999E-3</v>
      </c>
      <c r="T438" s="21">
        <f>S438*H438</f>
        <v>5.2212000000000001E-2</v>
      </c>
      <c r="AR438" s="6" t="s">
        <v>328</v>
      </c>
      <c r="AT438" s="6" t="s">
        <v>4</v>
      </c>
      <c r="AU438" s="6" t="s">
        <v>365</v>
      </c>
      <c r="AY438" s="7" t="s">
        <v>3</v>
      </c>
      <c r="BE438" s="8">
        <f>IF(N438="základní",J438,0)</f>
        <v>0</v>
      </c>
      <c r="BF438" s="8">
        <f>IF(N438="snížená",J438,0)</f>
        <v>0</v>
      </c>
      <c r="BG438" s="8">
        <f>IF(N438="zákl. přenesená",J438,0)</f>
        <v>0</v>
      </c>
      <c r="BH438" s="8">
        <f>IF(N438="sníž. přenesená",J438,0)</f>
        <v>0</v>
      </c>
      <c r="BI438" s="8">
        <f>IF(N438="nulová",J438,0)</f>
        <v>0</v>
      </c>
      <c r="BJ438" s="7" t="s">
        <v>2</v>
      </c>
      <c r="BK438" s="8">
        <f>ROUND(I438*H438,2)</f>
        <v>0</v>
      </c>
      <c r="BL438" s="7" t="s">
        <v>328</v>
      </c>
      <c r="BM438" s="6" t="s">
        <v>2245</v>
      </c>
    </row>
    <row r="439" spans="2:65" s="2" customFormat="1">
      <c r="B439" s="3"/>
      <c r="D439" s="107" t="s">
        <v>651</v>
      </c>
      <c r="F439" s="106" t="s">
        <v>2244</v>
      </c>
      <c r="I439" s="94"/>
      <c r="L439" s="3"/>
      <c r="M439" s="100"/>
      <c r="T439" s="99"/>
      <c r="AT439" s="7" t="s">
        <v>651</v>
      </c>
      <c r="AU439" s="7" t="s">
        <v>365</v>
      </c>
    </row>
    <row r="440" spans="2:65" s="2" customFormat="1" ht="24.2" customHeight="1">
      <c r="B440" s="3"/>
      <c r="C440" s="20" t="s">
        <v>174</v>
      </c>
      <c r="D440" s="20" t="s">
        <v>4</v>
      </c>
      <c r="E440" s="19" t="s">
        <v>2243</v>
      </c>
      <c r="F440" s="14" t="s">
        <v>2242</v>
      </c>
      <c r="G440" s="18" t="s">
        <v>21</v>
      </c>
      <c r="H440" s="17">
        <v>17.2</v>
      </c>
      <c r="I440" s="16"/>
      <c r="J440" s="15">
        <f>ROUND(I440*H440,2)</f>
        <v>0</v>
      </c>
      <c r="K440" s="14" t="s">
        <v>654</v>
      </c>
      <c r="L440" s="3"/>
      <c r="M440" s="24" t="s">
        <v>6</v>
      </c>
      <c r="N440" s="23" t="s">
        <v>5</v>
      </c>
      <c r="P440" s="22">
        <f>O440*H440</f>
        <v>0</v>
      </c>
      <c r="Q440" s="22">
        <v>0</v>
      </c>
      <c r="R440" s="22">
        <f>Q440*H440</f>
        <v>0</v>
      </c>
      <c r="S440" s="22">
        <v>1.3100000000000001E-2</v>
      </c>
      <c r="T440" s="21">
        <f>S440*H440</f>
        <v>0.22531999999999999</v>
      </c>
      <c r="AR440" s="6" t="s">
        <v>328</v>
      </c>
      <c r="AT440" s="6" t="s">
        <v>4</v>
      </c>
      <c r="AU440" s="6" t="s">
        <v>365</v>
      </c>
      <c r="AY440" s="7" t="s">
        <v>3</v>
      </c>
      <c r="BE440" s="8">
        <f>IF(N440="základní",J440,0)</f>
        <v>0</v>
      </c>
      <c r="BF440" s="8">
        <f>IF(N440="snížená",J440,0)</f>
        <v>0</v>
      </c>
      <c r="BG440" s="8">
        <f>IF(N440="zákl. přenesená",J440,0)</f>
        <v>0</v>
      </c>
      <c r="BH440" s="8">
        <f>IF(N440="sníž. přenesená",J440,0)</f>
        <v>0</v>
      </c>
      <c r="BI440" s="8">
        <f>IF(N440="nulová",J440,0)</f>
        <v>0</v>
      </c>
      <c r="BJ440" s="7" t="s">
        <v>2</v>
      </c>
      <c r="BK440" s="8">
        <f>ROUND(I440*H440,2)</f>
        <v>0</v>
      </c>
      <c r="BL440" s="7" t="s">
        <v>328</v>
      </c>
      <c r="BM440" s="6" t="s">
        <v>2241</v>
      </c>
    </row>
    <row r="441" spans="2:65" s="2" customFormat="1">
      <c r="B441" s="3"/>
      <c r="D441" s="107" t="s">
        <v>651</v>
      </c>
      <c r="F441" s="106" t="s">
        <v>2240</v>
      </c>
      <c r="I441" s="94"/>
      <c r="L441" s="3"/>
      <c r="M441" s="100"/>
      <c r="T441" s="99"/>
      <c r="AT441" s="7" t="s">
        <v>651</v>
      </c>
      <c r="AU441" s="7" t="s">
        <v>365</v>
      </c>
    </row>
    <row r="442" spans="2:65" s="2" customFormat="1" ht="24.2" customHeight="1">
      <c r="B442" s="3"/>
      <c r="C442" s="20" t="s">
        <v>805</v>
      </c>
      <c r="D442" s="20" t="s">
        <v>4</v>
      </c>
      <c r="E442" s="19" t="s">
        <v>2239</v>
      </c>
      <c r="F442" s="14" t="s">
        <v>2238</v>
      </c>
      <c r="G442" s="18" t="s">
        <v>21</v>
      </c>
      <c r="H442" s="17">
        <v>13.2</v>
      </c>
      <c r="I442" s="16"/>
      <c r="J442" s="15">
        <f>ROUND(I442*H442,2)</f>
        <v>0</v>
      </c>
      <c r="K442" s="14" t="s">
        <v>654</v>
      </c>
      <c r="L442" s="3"/>
      <c r="M442" s="24" t="s">
        <v>6</v>
      </c>
      <c r="N442" s="23" t="s">
        <v>5</v>
      </c>
      <c r="P442" s="22">
        <f>O442*H442</f>
        <v>0</v>
      </c>
      <c r="Q442" s="22">
        <v>0</v>
      </c>
      <c r="R442" s="22">
        <f>Q442*H442</f>
        <v>0</v>
      </c>
      <c r="S442" s="22">
        <v>1.7399999999999999E-2</v>
      </c>
      <c r="T442" s="21">
        <f>S442*H442</f>
        <v>0.22967999999999997</v>
      </c>
      <c r="AR442" s="6" t="s">
        <v>328</v>
      </c>
      <c r="AT442" s="6" t="s">
        <v>4</v>
      </c>
      <c r="AU442" s="6" t="s">
        <v>365</v>
      </c>
      <c r="AY442" s="7" t="s">
        <v>3</v>
      </c>
      <c r="BE442" s="8">
        <f>IF(N442="základní",J442,0)</f>
        <v>0</v>
      </c>
      <c r="BF442" s="8">
        <f>IF(N442="snížená",J442,0)</f>
        <v>0</v>
      </c>
      <c r="BG442" s="8">
        <f>IF(N442="zákl. přenesená",J442,0)</f>
        <v>0</v>
      </c>
      <c r="BH442" s="8">
        <f>IF(N442="sníž. přenesená",J442,0)</f>
        <v>0</v>
      </c>
      <c r="BI442" s="8">
        <f>IF(N442="nulová",J442,0)</f>
        <v>0</v>
      </c>
      <c r="BJ442" s="7" t="s">
        <v>2</v>
      </c>
      <c r="BK442" s="8">
        <f>ROUND(I442*H442,2)</f>
        <v>0</v>
      </c>
      <c r="BL442" s="7" t="s">
        <v>328</v>
      </c>
      <c r="BM442" s="6" t="s">
        <v>2237</v>
      </c>
    </row>
    <row r="443" spans="2:65" s="2" customFormat="1">
      <c r="B443" s="3"/>
      <c r="D443" s="107" t="s">
        <v>651</v>
      </c>
      <c r="F443" s="106" t="s">
        <v>2236</v>
      </c>
      <c r="I443" s="94"/>
      <c r="L443" s="3"/>
      <c r="M443" s="100"/>
      <c r="T443" s="99"/>
      <c r="AT443" s="7" t="s">
        <v>651</v>
      </c>
      <c r="AU443" s="7" t="s">
        <v>365</v>
      </c>
    </row>
    <row r="444" spans="2:65" s="2" customFormat="1" ht="16.5" customHeight="1">
      <c r="B444" s="3"/>
      <c r="C444" s="20" t="s">
        <v>170</v>
      </c>
      <c r="D444" s="20" t="s">
        <v>4</v>
      </c>
      <c r="E444" s="19" t="s">
        <v>2235</v>
      </c>
      <c r="F444" s="14" t="s">
        <v>2234</v>
      </c>
      <c r="G444" s="18" t="s">
        <v>722</v>
      </c>
      <c r="H444" s="17">
        <v>2</v>
      </c>
      <c r="I444" s="16"/>
      <c r="J444" s="15">
        <f>ROUND(I444*H444,2)</f>
        <v>0</v>
      </c>
      <c r="K444" s="14" t="s">
        <v>654</v>
      </c>
      <c r="L444" s="3"/>
      <c r="M444" s="24" t="s">
        <v>6</v>
      </c>
      <c r="N444" s="23" t="s">
        <v>5</v>
      </c>
      <c r="P444" s="22">
        <f>O444*H444</f>
        <v>0</v>
      </c>
      <c r="Q444" s="22">
        <v>0</v>
      </c>
      <c r="R444" s="22">
        <f>Q444*H444</f>
        <v>0</v>
      </c>
      <c r="S444" s="22">
        <v>3.1E-2</v>
      </c>
      <c r="T444" s="21">
        <f>S444*H444</f>
        <v>6.2E-2</v>
      </c>
      <c r="AR444" s="6" t="s">
        <v>328</v>
      </c>
      <c r="AT444" s="6" t="s">
        <v>4</v>
      </c>
      <c r="AU444" s="6" t="s">
        <v>365</v>
      </c>
      <c r="AY444" s="7" t="s">
        <v>3</v>
      </c>
      <c r="BE444" s="8">
        <f>IF(N444="základní",J444,0)</f>
        <v>0</v>
      </c>
      <c r="BF444" s="8">
        <f>IF(N444="snížená",J444,0)</f>
        <v>0</v>
      </c>
      <c r="BG444" s="8">
        <f>IF(N444="zákl. přenesená",J444,0)</f>
        <v>0</v>
      </c>
      <c r="BH444" s="8">
        <f>IF(N444="sníž. přenesená",J444,0)</f>
        <v>0</v>
      </c>
      <c r="BI444" s="8">
        <f>IF(N444="nulová",J444,0)</f>
        <v>0</v>
      </c>
      <c r="BJ444" s="7" t="s">
        <v>2</v>
      </c>
      <c r="BK444" s="8">
        <f>ROUND(I444*H444,2)</f>
        <v>0</v>
      </c>
      <c r="BL444" s="7" t="s">
        <v>328</v>
      </c>
      <c r="BM444" s="6" t="s">
        <v>2233</v>
      </c>
    </row>
    <row r="445" spans="2:65" s="2" customFormat="1">
      <c r="B445" s="3"/>
      <c r="D445" s="107" t="s">
        <v>651</v>
      </c>
      <c r="F445" s="106" t="s">
        <v>2232</v>
      </c>
      <c r="I445" s="94"/>
      <c r="L445" s="3"/>
      <c r="M445" s="100"/>
      <c r="T445" s="99"/>
      <c r="AT445" s="7" t="s">
        <v>651</v>
      </c>
      <c r="AU445" s="7" t="s">
        <v>365</v>
      </c>
    </row>
    <row r="446" spans="2:65" s="2" customFormat="1" ht="16.5" customHeight="1">
      <c r="B446" s="3"/>
      <c r="C446" s="20" t="s">
        <v>797</v>
      </c>
      <c r="D446" s="20" t="s">
        <v>4</v>
      </c>
      <c r="E446" s="19" t="s">
        <v>2231</v>
      </c>
      <c r="F446" s="14" t="s">
        <v>2230</v>
      </c>
      <c r="G446" s="18" t="s">
        <v>722</v>
      </c>
      <c r="H446" s="17">
        <v>2</v>
      </c>
      <c r="I446" s="16"/>
      <c r="J446" s="15">
        <f>ROUND(I446*H446,2)</f>
        <v>0</v>
      </c>
      <c r="K446" s="14" t="s">
        <v>7</v>
      </c>
      <c r="L446" s="3"/>
      <c r="M446" s="24" t="s">
        <v>6</v>
      </c>
      <c r="N446" s="23" t="s">
        <v>5</v>
      </c>
      <c r="P446" s="22">
        <f>O446*H446</f>
        <v>0</v>
      </c>
      <c r="Q446" s="22">
        <v>0</v>
      </c>
      <c r="R446" s="22">
        <f>Q446*H446</f>
        <v>0</v>
      </c>
      <c r="S446" s="22">
        <v>4.2000000000000003E-2</v>
      </c>
      <c r="T446" s="21">
        <f>S446*H446</f>
        <v>8.4000000000000005E-2</v>
      </c>
      <c r="AR446" s="6" t="s">
        <v>328</v>
      </c>
      <c r="AT446" s="6" t="s">
        <v>4</v>
      </c>
      <c r="AU446" s="6" t="s">
        <v>365</v>
      </c>
      <c r="AY446" s="7" t="s">
        <v>3</v>
      </c>
      <c r="BE446" s="8">
        <f>IF(N446="základní",J446,0)</f>
        <v>0</v>
      </c>
      <c r="BF446" s="8">
        <f>IF(N446="snížená",J446,0)</f>
        <v>0</v>
      </c>
      <c r="BG446" s="8">
        <f>IF(N446="zákl. přenesená",J446,0)</f>
        <v>0</v>
      </c>
      <c r="BH446" s="8">
        <f>IF(N446="sníž. přenesená",J446,0)</f>
        <v>0</v>
      </c>
      <c r="BI446" s="8">
        <f>IF(N446="nulová",J446,0)</f>
        <v>0</v>
      </c>
      <c r="BJ446" s="7" t="s">
        <v>2</v>
      </c>
      <c r="BK446" s="8">
        <f>ROUND(I446*H446,2)</f>
        <v>0</v>
      </c>
      <c r="BL446" s="7" t="s">
        <v>328</v>
      </c>
      <c r="BM446" s="6" t="s">
        <v>2229</v>
      </c>
    </row>
    <row r="447" spans="2:65" s="25" customFormat="1" ht="22.9" customHeight="1">
      <c r="B447" s="32"/>
      <c r="D447" s="27" t="s">
        <v>26</v>
      </c>
      <c r="E447" s="98" t="s">
        <v>2228</v>
      </c>
      <c r="F447" s="98" t="s">
        <v>2227</v>
      </c>
      <c r="I447" s="34"/>
      <c r="J447" s="97">
        <f>BK447</f>
        <v>0</v>
      </c>
      <c r="L447" s="32"/>
      <c r="M447" s="31"/>
      <c r="P447" s="30">
        <f>SUM(P448:P496)</f>
        <v>0</v>
      </c>
      <c r="R447" s="30">
        <f>SUM(R448:R496)</f>
        <v>0.32202000000000003</v>
      </c>
      <c r="T447" s="29">
        <f>SUM(T448:T496)</f>
        <v>0</v>
      </c>
      <c r="AR447" s="27" t="s">
        <v>365</v>
      </c>
      <c r="AT447" s="28" t="s">
        <v>26</v>
      </c>
      <c r="AU447" s="28" t="s">
        <v>2</v>
      </c>
      <c r="AY447" s="27" t="s">
        <v>3</v>
      </c>
      <c r="BK447" s="26">
        <f>SUM(BK448:BK496)</f>
        <v>0</v>
      </c>
    </row>
    <row r="448" spans="2:65" s="2" customFormat="1" ht="16.5" customHeight="1">
      <c r="B448" s="3"/>
      <c r="C448" s="20" t="s">
        <v>167</v>
      </c>
      <c r="D448" s="20" t="s">
        <v>4</v>
      </c>
      <c r="E448" s="19" t="s">
        <v>2226</v>
      </c>
      <c r="F448" s="14" t="s">
        <v>2225</v>
      </c>
      <c r="G448" s="18" t="s">
        <v>714</v>
      </c>
      <c r="H448" s="17">
        <v>1</v>
      </c>
      <c r="I448" s="16"/>
      <c r="J448" s="15">
        <f>ROUND(I448*H448,2)</f>
        <v>0</v>
      </c>
      <c r="K448" s="14" t="s">
        <v>7</v>
      </c>
      <c r="L448" s="3"/>
      <c r="M448" s="24" t="s">
        <v>6</v>
      </c>
      <c r="N448" s="23" t="s">
        <v>5</v>
      </c>
      <c r="P448" s="22">
        <f>O448*H448</f>
        <v>0</v>
      </c>
      <c r="Q448" s="22">
        <v>0</v>
      </c>
      <c r="R448" s="22">
        <f>Q448*H448</f>
        <v>0</v>
      </c>
      <c r="S448" s="22">
        <v>0</v>
      </c>
      <c r="T448" s="21">
        <f>S448*H448</f>
        <v>0</v>
      </c>
      <c r="AR448" s="6" t="s">
        <v>328</v>
      </c>
      <c r="AT448" s="6" t="s">
        <v>4</v>
      </c>
      <c r="AU448" s="6" t="s">
        <v>365</v>
      </c>
      <c r="AY448" s="7" t="s">
        <v>3</v>
      </c>
      <c r="BE448" s="8">
        <f>IF(N448="základní",J448,0)</f>
        <v>0</v>
      </c>
      <c r="BF448" s="8">
        <f>IF(N448="snížená",J448,0)</f>
        <v>0</v>
      </c>
      <c r="BG448" s="8">
        <f>IF(N448="zákl. přenesená",J448,0)</f>
        <v>0</v>
      </c>
      <c r="BH448" s="8">
        <f>IF(N448="sníž. přenesená",J448,0)</f>
        <v>0</v>
      </c>
      <c r="BI448" s="8">
        <f>IF(N448="nulová",J448,0)</f>
        <v>0</v>
      </c>
      <c r="BJ448" s="7" t="s">
        <v>2</v>
      </c>
      <c r="BK448" s="8">
        <f>ROUND(I448*H448,2)</f>
        <v>0</v>
      </c>
      <c r="BL448" s="7" t="s">
        <v>328</v>
      </c>
      <c r="BM448" s="6" t="s">
        <v>2224</v>
      </c>
    </row>
    <row r="449" spans="2:65" s="269" customFormat="1">
      <c r="B449" s="273"/>
      <c r="D449" s="96" t="s">
        <v>704</v>
      </c>
      <c r="E449" s="270" t="s">
        <v>6</v>
      </c>
      <c r="F449" s="275" t="s">
        <v>2170</v>
      </c>
      <c r="H449" s="270" t="s">
        <v>6</v>
      </c>
      <c r="I449" s="274"/>
      <c r="L449" s="273"/>
      <c r="M449" s="272"/>
      <c r="T449" s="271"/>
      <c r="AT449" s="270" t="s">
        <v>704</v>
      </c>
      <c r="AU449" s="270" t="s">
        <v>365</v>
      </c>
      <c r="AV449" s="269" t="s">
        <v>2</v>
      </c>
      <c r="AW449" s="269" t="s">
        <v>703</v>
      </c>
      <c r="AX449" s="269" t="s">
        <v>25</v>
      </c>
      <c r="AY449" s="270" t="s">
        <v>3</v>
      </c>
    </row>
    <row r="450" spans="2:65" s="108" customFormat="1">
      <c r="B450" s="112"/>
      <c r="D450" s="96" t="s">
        <v>704</v>
      </c>
      <c r="E450" s="109" t="s">
        <v>6</v>
      </c>
      <c r="F450" s="115" t="s">
        <v>2</v>
      </c>
      <c r="H450" s="114">
        <v>1</v>
      </c>
      <c r="I450" s="113"/>
      <c r="L450" s="112"/>
      <c r="M450" s="111"/>
      <c r="T450" s="110"/>
      <c r="AT450" s="109" t="s">
        <v>704</v>
      </c>
      <c r="AU450" s="109" t="s">
        <v>365</v>
      </c>
      <c r="AV450" s="108" t="s">
        <v>365</v>
      </c>
      <c r="AW450" s="108" t="s">
        <v>703</v>
      </c>
      <c r="AX450" s="108" t="s">
        <v>2</v>
      </c>
      <c r="AY450" s="109" t="s">
        <v>3</v>
      </c>
    </row>
    <row r="451" spans="2:65" s="2" customFormat="1" ht="142.15" customHeight="1">
      <c r="B451" s="3"/>
      <c r="C451" s="125" t="s">
        <v>787</v>
      </c>
      <c r="D451" s="125" t="s">
        <v>750</v>
      </c>
      <c r="E451" s="124" t="s">
        <v>2223</v>
      </c>
      <c r="F451" s="119" t="s">
        <v>2222</v>
      </c>
      <c r="G451" s="123" t="s">
        <v>2154</v>
      </c>
      <c r="H451" s="122">
        <v>1</v>
      </c>
      <c r="I451" s="121"/>
      <c r="J451" s="120">
        <f>ROUND(I451*H451,2)</f>
        <v>0</v>
      </c>
      <c r="K451" s="119" t="s">
        <v>7</v>
      </c>
      <c r="L451" s="118"/>
      <c r="M451" s="117" t="s">
        <v>6</v>
      </c>
      <c r="N451" s="116" t="s">
        <v>5</v>
      </c>
      <c r="P451" s="22">
        <f>O451*H451</f>
        <v>0</v>
      </c>
      <c r="Q451" s="22">
        <v>0.24</v>
      </c>
      <c r="R451" s="22">
        <f>Q451*H451</f>
        <v>0.24</v>
      </c>
      <c r="S451" s="22">
        <v>0</v>
      </c>
      <c r="T451" s="21">
        <f>S451*H451</f>
        <v>0</v>
      </c>
      <c r="AR451" s="6" t="s">
        <v>283</v>
      </c>
      <c r="AT451" s="6" t="s">
        <v>750</v>
      </c>
      <c r="AU451" s="6" t="s">
        <v>365</v>
      </c>
      <c r="AY451" s="7" t="s">
        <v>3</v>
      </c>
      <c r="BE451" s="8">
        <f>IF(N451="základní",J451,0)</f>
        <v>0</v>
      </c>
      <c r="BF451" s="8">
        <f>IF(N451="snížená",J451,0)</f>
        <v>0</v>
      </c>
      <c r="BG451" s="8">
        <f>IF(N451="zákl. přenesená",J451,0)</f>
        <v>0</v>
      </c>
      <c r="BH451" s="8">
        <f>IF(N451="sníž. přenesená",J451,0)</f>
        <v>0</v>
      </c>
      <c r="BI451" s="8">
        <f>IF(N451="nulová",J451,0)</f>
        <v>0</v>
      </c>
      <c r="BJ451" s="7" t="s">
        <v>2</v>
      </c>
      <c r="BK451" s="8">
        <f>ROUND(I451*H451,2)</f>
        <v>0</v>
      </c>
      <c r="BL451" s="7" t="s">
        <v>328</v>
      </c>
      <c r="BM451" s="6" t="s">
        <v>2221</v>
      </c>
    </row>
    <row r="452" spans="2:65" s="2" customFormat="1" ht="100.5" customHeight="1">
      <c r="B452" s="3"/>
      <c r="C452" s="125" t="s">
        <v>164</v>
      </c>
      <c r="D452" s="125" t="s">
        <v>750</v>
      </c>
      <c r="E452" s="124" t="s">
        <v>2220</v>
      </c>
      <c r="F452" s="119" t="s">
        <v>2219</v>
      </c>
      <c r="G452" s="123" t="s">
        <v>714</v>
      </c>
      <c r="H452" s="122">
        <v>1</v>
      </c>
      <c r="I452" s="121"/>
      <c r="J452" s="120">
        <f>ROUND(I452*H452,2)</f>
        <v>0</v>
      </c>
      <c r="K452" s="119" t="s">
        <v>7</v>
      </c>
      <c r="L452" s="118"/>
      <c r="M452" s="117" t="s">
        <v>6</v>
      </c>
      <c r="N452" s="116" t="s">
        <v>5</v>
      </c>
      <c r="P452" s="22">
        <f>O452*H452</f>
        <v>0</v>
      </c>
      <c r="Q452" s="22">
        <v>5.0000000000000001E-3</v>
      </c>
      <c r="R452" s="22">
        <f>Q452*H452</f>
        <v>5.0000000000000001E-3</v>
      </c>
      <c r="S452" s="22">
        <v>0</v>
      </c>
      <c r="T452" s="21">
        <f>S452*H452</f>
        <v>0</v>
      </c>
      <c r="AR452" s="6" t="s">
        <v>283</v>
      </c>
      <c r="AT452" s="6" t="s">
        <v>750</v>
      </c>
      <c r="AU452" s="6" t="s">
        <v>365</v>
      </c>
      <c r="AY452" s="7" t="s">
        <v>3</v>
      </c>
      <c r="BE452" s="8">
        <f>IF(N452="základní",J452,0)</f>
        <v>0</v>
      </c>
      <c r="BF452" s="8">
        <f>IF(N452="snížená",J452,0)</f>
        <v>0</v>
      </c>
      <c r="BG452" s="8">
        <f>IF(N452="zákl. přenesená",J452,0)</f>
        <v>0</v>
      </c>
      <c r="BH452" s="8">
        <f>IF(N452="sníž. přenesená",J452,0)</f>
        <v>0</v>
      </c>
      <c r="BI452" s="8">
        <f>IF(N452="nulová",J452,0)</f>
        <v>0</v>
      </c>
      <c r="BJ452" s="7" t="s">
        <v>2</v>
      </c>
      <c r="BK452" s="8">
        <f>ROUND(I452*H452,2)</f>
        <v>0</v>
      </c>
      <c r="BL452" s="7" t="s">
        <v>328</v>
      </c>
      <c r="BM452" s="6" t="s">
        <v>2218</v>
      </c>
    </row>
    <row r="453" spans="2:65" s="2" customFormat="1" ht="24.2" customHeight="1">
      <c r="B453" s="3"/>
      <c r="C453" s="20" t="s">
        <v>777</v>
      </c>
      <c r="D453" s="20" t="s">
        <v>4</v>
      </c>
      <c r="E453" s="19" t="s">
        <v>2217</v>
      </c>
      <c r="F453" s="14" t="s">
        <v>2216</v>
      </c>
      <c r="G453" s="18" t="s">
        <v>722</v>
      </c>
      <c r="H453" s="17">
        <v>1</v>
      </c>
      <c r="I453" s="16"/>
      <c r="J453" s="15">
        <f>ROUND(I453*H453,2)</f>
        <v>0</v>
      </c>
      <c r="K453" s="14" t="s">
        <v>7</v>
      </c>
      <c r="L453" s="3"/>
      <c r="M453" s="24" t="s">
        <v>6</v>
      </c>
      <c r="N453" s="23" t="s">
        <v>5</v>
      </c>
      <c r="P453" s="22">
        <f>O453*H453</f>
        <v>0</v>
      </c>
      <c r="Q453" s="22">
        <v>0</v>
      </c>
      <c r="R453" s="22">
        <f>Q453*H453</f>
        <v>0</v>
      </c>
      <c r="S453" s="22">
        <v>0</v>
      </c>
      <c r="T453" s="21">
        <f>S453*H453</f>
        <v>0</v>
      </c>
      <c r="AR453" s="6" t="s">
        <v>328</v>
      </c>
      <c r="AT453" s="6" t="s">
        <v>4</v>
      </c>
      <c r="AU453" s="6" t="s">
        <v>365</v>
      </c>
      <c r="AY453" s="7" t="s">
        <v>3</v>
      </c>
      <c r="BE453" s="8">
        <f>IF(N453="základní",J453,0)</f>
        <v>0</v>
      </c>
      <c r="BF453" s="8">
        <f>IF(N453="snížená",J453,0)</f>
        <v>0</v>
      </c>
      <c r="BG453" s="8">
        <f>IF(N453="zákl. přenesená",J453,0)</f>
        <v>0</v>
      </c>
      <c r="BH453" s="8">
        <f>IF(N453="sníž. přenesená",J453,0)</f>
        <v>0</v>
      </c>
      <c r="BI453" s="8">
        <f>IF(N453="nulová",J453,0)</f>
        <v>0</v>
      </c>
      <c r="BJ453" s="7" t="s">
        <v>2</v>
      </c>
      <c r="BK453" s="8">
        <f>ROUND(I453*H453,2)</f>
        <v>0</v>
      </c>
      <c r="BL453" s="7" t="s">
        <v>328</v>
      </c>
      <c r="BM453" s="6" t="s">
        <v>2215</v>
      </c>
    </row>
    <row r="454" spans="2:65" s="269" customFormat="1">
      <c r="B454" s="273"/>
      <c r="D454" s="96" t="s">
        <v>704</v>
      </c>
      <c r="E454" s="270" t="s">
        <v>6</v>
      </c>
      <c r="F454" s="275" t="s">
        <v>2170</v>
      </c>
      <c r="H454" s="270" t="s">
        <v>6</v>
      </c>
      <c r="I454" s="274"/>
      <c r="L454" s="273"/>
      <c r="M454" s="272"/>
      <c r="T454" s="271"/>
      <c r="AT454" s="270" t="s">
        <v>704</v>
      </c>
      <c r="AU454" s="270" t="s">
        <v>365</v>
      </c>
      <c r="AV454" s="269" t="s">
        <v>2</v>
      </c>
      <c r="AW454" s="269" t="s">
        <v>703</v>
      </c>
      <c r="AX454" s="269" t="s">
        <v>25</v>
      </c>
      <c r="AY454" s="270" t="s">
        <v>3</v>
      </c>
    </row>
    <row r="455" spans="2:65" s="108" customFormat="1">
      <c r="B455" s="112"/>
      <c r="D455" s="96" t="s">
        <v>704</v>
      </c>
      <c r="E455" s="109" t="s">
        <v>6</v>
      </c>
      <c r="F455" s="115" t="s">
        <v>2</v>
      </c>
      <c r="H455" s="114">
        <v>1</v>
      </c>
      <c r="I455" s="113"/>
      <c r="L455" s="112"/>
      <c r="M455" s="111"/>
      <c r="T455" s="110"/>
      <c r="AT455" s="109" t="s">
        <v>704</v>
      </c>
      <c r="AU455" s="109" t="s">
        <v>365</v>
      </c>
      <c r="AV455" s="108" t="s">
        <v>365</v>
      </c>
      <c r="AW455" s="108" t="s">
        <v>703</v>
      </c>
      <c r="AX455" s="108" t="s">
        <v>2</v>
      </c>
      <c r="AY455" s="109" t="s">
        <v>3</v>
      </c>
    </row>
    <row r="456" spans="2:65" s="2" customFormat="1" ht="16.5" customHeight="1">
      <c r="B456" s="3"/>
      <c r="C456" s="20" t="s">
        <v>160</v>
      </c>
      <c r="D456" s="20" t="s">
        <v>4</v>
      </c>
      <c r="E456" s="19" t="s">
        <v>2214</v>
      </c>
      <c r="F456" s="14" t="s">
        <v>2213</v>
      </c>
      <c r="G456" s="18" t="s">
        <v>722</v>
      </c>
      <c r="H456" s="17">
        <v>1</v>
      </c>
      <c r="I456" s="16"/>
      <c r="J456" s="15">
        <f>ROUND(I456*H456,2)</f>
        <v>0</v>
      </c>
      <c r="K456" s="14" t="s">
        <v>7</v>
      </c>
      <c r="L456" s="3"/>
      <c r="M456" s="24" t="s">
        <v>6</v>
      </c>
      <c r="N456" s="23" t="s">
        <v>5</v>
      </c>
      <c r="P456" s="22">
        <f>O456*H456</f>
        <v>0</v>
      </c>
      <c r="Q456" s="22">
        <v>0</v>
      </c>
      <c r="R456" s="22">
        <f>Q456*H456</f>
        <v>0</v>
      </c>
      <c r="S456" s="22">
        <v>0</v>
      </c>
      <c r="T456" s="21">
        <f>S456*H456</f>
        <v>0</v>
      </c>
      <c r="AR456" s="6" t="s">
        <v>328</v>
      </c>
      <c r="AT456" s="6" t="s">
        <v>4</v>
      </c>
      <c r="AU456" s="6" t="s">
        <v>365</v>
      </c>
      <c r="AY456" s="7" t="s">
        <v>3</v>
      </c>
      <c r="BE456" s="8">
        <f>IF(N456="základní",J456,0)</f>
        <v>0</v>
      </c>
      <c r="BF456" s="8">
        <f>IF(N456="snížená",J456,0)</f>
        <v>0</v>
      </c>
      <c r="BG456" s="8">
        <f>IF(N456="zákl. přenesená",J456,0)</f>
        <v>0</v>
      </c>
      <c r="BH456" s="8">
        <f>IF(N456="sníž. přenesená",J456,0)</f>
        <v>0</v>
      </c>
      <c r="BI456" s="8">
        <f>IF(N456="nulová",J456,0)</f>
        <v>0</v>
      </c>
      <c r="BJ456" s="7" t="s">
        <v>2</v>
      </c>
      <c r="BK456" s="8">
        <f>ROUND(I456*H456,2)</f>
        <v>0</v>
      </c>
      <c r="BL456" s="7" t="s">
        <v>328</v>
      </c>
      <c r="BM456" s="6" t="s">
        <v>2212</v>
      </c>
    </row>
    <row r="457" spans="2:65" s="269" customFormat="1">
      <c r="B457" s="273"/>
      <c r="D457" s="96" t="s">
        <v>704</v>
      </c>
      <c r="E457" s="270" t="s">
        <v>6</v>
      </c>
      <c r="F457" s="275" t="s">
        <v>2170</v>
      </c>
      <c r="H457" s="270" t="s">
        <v>6</v>
      </c>
      <c r="I457" s="274"/>
      <c r="L457" s="273"/>
      <c r="M457" s="272"/>
      <c r="T457" s="271"/>
      <c r="AT457" s="270" t="s">
        <v>704</v>
      </c>
      <c r="AU457" s="270" t="s">
        <v>365</v>
      </c>
      <c r="AV457" s="269" t="s">
        <v>2</v>
      </c>
      <c r="AW457" s="269" t="s">
        <v>703</v>
      </c>
      <c r="AX457" s="269" t="s">
        <v>25</v>
      </c>
      <c r="AY457" s="270" t="s">
        <v>3</v>
      </c>
    </row>
    <row r="458" spans="2:65" s="108" customFormat="1">
      <c r="B458" s="112"/>
      <c r="D458" s="96" t="s">
        <v>704</v>
      </c>
      <c r="E458" s="109" t="s">
        <v>6</v>
      </c>
      <c r="F458" s="115" t="s">
        <v>2</v>
      </c>
      <c r="H458" s="114">
        <v>1</v>
      </c>
      <c r="I458" s="113"/>
      <c r="L458" s="112"/>
      <c r="M458" s="111"/>
      <c r="T458" s="110"/>
      <c r="AT458" s="109" t="s">
        <v>704</v>
      </c>
      <c r="AU458" s="109" t="s">
        <v>365</v>
      </c>
      <c r="AV458" s="108" t="s">
        <v>365</v>
      </c>
      <c r="AW458" s="108" t="s">
        <v>703</v>
      </c>
      <c r="AX458" s="108" t="s">
        <v>2</v>
      </c>
      <c r="AY458" s="109" t="s">
        <v>3</v>
      </c>
    </row>
    <row r="459" spans="2:65" s="2" customFormat="1" ht="44.25" customHeight="1">
      <c r="B459" s="3"/>
      <c r="C459" s="125" t="s">
        <v>768</v>
      </c>
      <c r="D459" s="125" t="s">
        <v>750</v>
      </c>
      <c r="E459" s="124" t="s">
        <v>2211</v>
      </c>
      <c r="F459" s="119" t="s">
        <v>2210</v>
      </c>
      <c r="G459" s="123" t="s">
        <v>714</v>
      </c>
      <c r="H459" s="122">
        <v>1</v>
      </c>
      <c r="I459" s="121"/>
      <c r="J459" s="120">
        <f>ROUND(I459*H459,2)</f>
        <v>0</v>
      </c>
      <c r="K459" s="119" t="s">
        <v>7</v>
      </c>
      <c r="L459" s="118"/>
      <c r="M459" s="117" t="s">
        <v>6</v>
      </c>
      <c r="N459" s="116" t="s">
        <v>5</v>
      </c>
      <c r="P459" s="22">
        <f>O459*H459</f>
        <v>0</v>
      </c>
      <c r="Q459" s="22">
        <v>0.01</v>
      </c>
      <c r="R459" s="22">
        <f>Q459*H459</f>
        <v>0.01</v>
      </c>
      <c r="S459" s="22">
        <v>0</v>
      </c>
      <c r="T459" s="21">
        <f>S459*H459</f>
        <v>0</v>
      </c>
      <c r="AR459" s="6" t="s">
        <v>283</v>
      </c>
      <c r="AT459" s="6" t="s">
        <v>750</v>
      </c>
      <c r="AU459" s="6" t="s">
        <v>365</v>
      </c>
      <c r="AY459" s="7" t="s">
        <v>3</v>
      </c>
      <c r="BE459" s="8">
        <f>IF(N459="základní",J459,0)</f>
        <v>0</v>
      </c>
      <c r="BF459" s="8">
        <f>IF(N459="snížená",J459,0)</f>
        <v>0</v>
      </c>
      <c r="BG459" s="8">
        <f>IF(N459="zákl. přenesená",J459,0)</f>
        <v>0</v>
      </c>
      <c r="BH459" s="8">
        <f>IF(N459="sníž. přenesená",J459,0)</f>
        <v>0</v>
      </c>
      <c r="BI459" s="8">
        <f>IF(N459="nulová",J459,0)</f>
        <v>0</v>
      </c>
      <c r="BJ459" s="7" t="s">
        <v>2</v>
      </c>
      <c r="BK459" s="8">
        <f>ROUND(I459*H459,2)</f>
        <v>0</v>
      </c>
      <c r="BL459" s="7" t="s">
        <v>328</v>
      </c>
      <c r="BM459" s="6" t="s">
        <v>2209</v>
      </c>
    </row>
    <row r="460" spans="2:65" s="2" customFormat="1" ht="37.9" customHeight="1">
      <c r="B460" s="3"/>
      <c r="C460" s="20" t="s">
        <v>156</v>
      </c>
      <c r="D460" s="20" t="s">
        <v>4</v>
      </c>
      <c r="E460" s="19" t="s">
        <v>2208</v>
      </c>
      <c r="F460" s="14" t="s">
        <v>2207</v>
      </c>
      <c r="G460" s="18" t="s">
        <v>21</v>
      </c>
      <c r="H460" s="17">
        <v>18</v>
      </c>
      <c r="I460" s="16"/>
      <c r="J460" s="15">
        <f>ROUND(I460*H460,2)</f>
        <v>0</v>
      </c>
      <c r="K460" s="14" t="s">
        <v>7</v>
      </c>
      <c r="L460" s="3"/>
      <c r="M460" s="24" t="s">
        <v>6</v>
      </c>
      <c r="N460" s="23" t="s">
        <v>5</v>
      </c>
      <c r="P460" s="22">
        <f>O460*H460</f>
        <v>0</v>
      </c>
      <c r="Q460" s="22">
        <v>4.0000000000000002E-4</v>
      </c>
      <c r="R460" s="22">
        <f>Q460*H460</f>
        <v>7.2000000000000007E-3</v>
      </c>
      <c r="S460" s="22">
        <v>0</v>
      </c>
      <c r="T460" s="21">
        <f>S460*H460</f>
        <v>0</v>
      </c>
      <c r="AR460" s="6" t="s">
        <v>328</v>
      </c>
      <c r="AT460" s="6" t="s">
        <v>4</v>
      </c>
      <c r="AU460" s="6" t="s">
        <v>365</v>
      </c>
      <c r="AY460" s="7" t="s">
        <v>3</v>
      </c>
      <c r="BE460" s="8">
        <f>IF(N460="základní",J460,0)</f>
        <v>0</v>
      </c>
      <c r="BF460" s="8">
        <f>IF(N460="snížená",J460,0)</f>
        <v>0</v>
      </c>
      <c r="BG460" s="8">
        <f>IF(N460="zákl. přenesená",J460,0)</f>
        <v>0</v>
      </c>
      <c r="BH460" s="8">
        <f>IF(N460="sníž. přenesená",J460,0)</f>
        <v>0</v>
      </c>
      <c r="BI460" s="8">
        <f>IF(N460="nulová",J460,0)</f>
        <v>0</v>
      </c>
      <c r="BJ460" s="7" t="s">
        <v>2</v>
      </c>
      <c r="BK460" s="8">
        <f>ROUND(I460*H460,2)</f>
        <v>0</v>
      </c>
      <c r="BL460" s="7" t="s">
        <v>328</v>
      </c>
      <c r="BM460" s="6" t="s">
        <v>2206</v>
      </c>
    </row>
    <row r="461" spans="2:65" s="2" customFormat="1" ht="19.5">
      <c r="B461" s="3"/>
      <c r="D461" s="96" t="s">
        <v>442</v>
      </c>
      <c r="F461" s="95" t="s">
        <v>2140</v>
      </c>
      <c r="I461" s="94"/>
      <c r="L461" s="3"/>
      <c r="M461" s="100"/>
      <c r="T461" s="99"/>
      <c r="AT461" s="7" t="s">
        <v>442</v>
      </c>
      <c r="AU461" s="7" t="s">
        <v>365</v>
      </c>
    </row>
    <row r="462" spans="2:65" s="269" customFormat="1">
      <c r="B462" s="273"/>
      <c r="D462" s="96" t="s">
        <v>704</v>
      </c>
      <c r="E462" s="270" t="s">
        <v>6</v>
      </c>
      <c r="F462" s="275" t="s">
        <v>2170</v>
      </c>
      <c r="H462" s="270" t="s">
        <v>6</v>
      </c>
      <c r="I462" s="274"/>
      <c r="L462" s="273"/>
      <c r="M462" s="272"/>
      <c r="T462" s="271"/>
      <c r="AT462" s="270" t="s">
        <v>704</v>
      </c>
      <c r="AU462" s="270" t="s">
        <v>365</v>
      </c>
      <c r="AV462" s="269" t="s">
        <v>2</v>
      </c>
      <c r="AW462" s="269" t="s">
        <v>703</v>
      </c>
      <c r="AX462" s="269" t="s">
        <v>25</v>
      </c>
      <c r="AY462" s="270" t="s">
        <v>3</v>
      </c>
    </row>
    <row r="463" spans="2:65" s="108" customFormat="1">
      <c r="B463" s="112"/>
      <c r="D463" s="96" t="s">
        <v>704</v>
      </c>
      <c r="E463" s="109" t="s">
        <v>6</v>
      </c>
      <c r="F463" s="115" t="s">
        <v>2177</v>
      </c>
      <c r="H463" s="114">
        <v>18</v>
      </c>
      <c r="I463" s="113"/>
      <c r="L463" s="112"/>
      <c r="M463" s="111"/>
      <c r="T463" s="110"/>
      <c r="AT463" s="109" t="s">
        <v>704</v>
      </c>
      <c r="AU463" s="109" t="s">
        <v>365</v>
      </c>
      <c r="AV463" s="108" t="s">
        <v>365</v>
      </c>
      <c r="AW463" s="108" t="s">
        <v>703</v>
      </c>
      <c r="AX463" s="108" t="s">
        <v>2</v>
      </c>
      <c r="AY463" s="109" t="s">
        <v>3</v>
      </c>
    </row>
    <row r="464" spans="2:65" s="2" customFormat="1" ht="37.9" customHeight="1">
      <c r="B464" s="3"/>
      <c r="C464" s="125" t="s">
        <v>1294</v>
      </c>
      <c r="D464" s="125" t="s">
        <v>750</v>
      </c>
      <c r="E464" s="124" t="s">
        <v>2205</v>
      </c>
      <c r="F464" s="119" t="s">
        <v>2204</v>
      </c>
      <c r="G464" s="123" t="s">
        <v>21</v>
      </c>
      <c r="H464" s="122">
        <v>18</v>
      </c>
      <c r="I464" s="121"/>
      <c r="J464" s="120">
        <f>ROUND(I464*H464,2)</f>
        <v>0</v>
      </c>
      <c r="K464" s="119" t="s">
        <v>7</v>
      </c>
      <c r="L464" s="118"/>
      <c r="M464" s="117" t="s">
        <v>6</v>
      </c>
      <c r="N464" s="116" t="s">
        <v>5</v>
      </c>
      <c r="P464" s="22">
        <f>O464*H464</f>
        <v>0</v>
      </c>
      <c r="Q464" s="22">
        <v>4.4999999999999999E-4</v>
      </c>
      <c r="R464" s="22">
        <f>Q464*H464</f>
        <v>8.0999999999999996E-3</v>
      </c>
      <c r="S464" s="22">
        <v>0</v>
      </c>
      <c r="T464" s="21">
        <f>S464*H464</f>
        <v>0</v>
      </c>
      <c r="AR464" s="6" t="s">
        <v>283</v>
      </c>
      <c r="AT464" s="6" t="s">
        <v>750</v>
      </c>
      <c r="AU464" s="6" t="s">
        <v>365</v>
      </c>
      <c r="AY464" s="7" t="s">
        <v>3</v>
      </c>
      <c r="BE464" s="8">
        <f>IF(N464="základní",J464,0)</f>
        <v>0</v>
      </c>
      <c r="BF464" s="8">
        <f>IF(N464="snížená",J464,0)</f>
        <v>0</v>
      </c>
      <c r="BG464" s="8">
        <f>IF(N464="zákl. přenesená",J464,0)</f>
        <v>0</v>
      </c>
      <c r="BH464" s="8">
        <f>IF(N464="sníž. přenesená",J464,0)</f>
        <v>0</v>
      </c>
      <c r="BI464" s="8">
        <f>IF(N464="nulová",J464,0)</f>
        <v>0</v>
      </c>
      <c r="BJ464" s="7" t="s">
        <v>2</v>
      </c>
      <c r="BK464" s="8">
        <f>ROUND(I464*H464,2)</f>
        <v>0</v>
      </c>
      <c r="BL464" s="7" t="s">
        <v>328</v>
      </c>
      <c r="BM464" s="6" t="s">
        <v>2203</v>
      </c>
    </row>
    <row r="465" spans="2:65" s="2" customFormat="1" ht="37.9" customHeight="1">
      <c r="B465" s="3"/>
      <c r="C465" s="20" t="s">
        <v>152</v>
      </c>
      <c r="D465" s="20" t="s">
        <v>4</v>
      </c>
      <c r="E465" s="19" t="s">
        <v>2202</v>
      </c>
      <c r="F465" s="14" t="s">
        <v>2201</v>
      </c>
      <c r="G465" s="18" t="s">
        <v>21</v>
      </c>
      <c r="H465" s="17">
        <v>18</v>
      </c>
      <c r="I465" s="16"/>
      <c r="J465" s="15">
        <f>ROUND(I465*H465,2)</f>
        <v>0</v>
      </c>
      <c r="K465" s="14" t="s">
        <v>7</v>
      </c>
      <c r="L465" s="3"/>
      <c r="M465" s="24" t="s">
        <v>6</v>
      </c>
      <c r="N465" s="23" t="s">
        <v>5</v>
      </c>
      <c r="P465" s="22">
        <f>O465*H465</f>
        <v>0</v>
      </c>
      <c r="Q465" s="22">
        <v>8.0000000000000004E-4</v>
      </c>
      <c r="R465" s="22">
        <f>Q465*H465</f>
        <v>1.4400000000000001E-2</v>
      </c>
      <c r="S465" s="22">
        <v>0</v>
      </c>
      <c r="T465" s="21">
        <f>S465*H465</f>
        <v>0</v>
      </c>
      <c r="AR465" s="6" t="s">
        <v>328</v>
      </c>
      <c r="AT465" s="6" t="s">
        <v>4</v>
      </c>
      <c r="AU465" s="6" t="s">
        <v>365</v>
      </c>
      <c r="AY465" s="7" t="s">
        <v>3</v>
      </c>
      <c r="BE465" s="8">
        <f>IF(N465="základní",J465,0)</f>
        <v>0</v>
      </c>
      <c r="BF465" s="8">
        <f>IF(N465="snížená",J465,0)</f>
        <v>0</v>
      </c>
      <c r="BG465" s="8">
        <f>IF(N465="zákl. přenesená",J465,0)</f>
        <v>0</v>
      </c>
      <c r="BH465" s="8">
        <f>IF(N465="sníž. přenesená",J465,0)</f>
        <v>0</v>
      </c>
      <c r="BI465" s="8">
        <f>IF(N465="nulová",J465,0)</f>
        <v>0</v>
      </c>
      <c r="BJ465" s="7" t="s">
        <v>2</v>
      </c>
      <c r="BK465" s="8">
        <f>ROUND(I465*H465,2)</f>
        <v>0</v>
      </c>
      <c r="BL465" s="7" t="s">
        <v>328</v>
      </c>
      <c r="BM465" s="6" t="s">
        <v>2200</v>
      </c>
    </row>
    <row r="466" spans="2:65" s="269" customFormat="1">
      <c r="B466" s="273"/>
      <c r="D466" s="96" t="s">
        <v>704</v>
      </c>
      <c r="E466" s="270" t="s">
        <v>6</v>
      </c>
      <c r="F466" s="275" t="s">
        <v>2170</v>
      </c>
      <c r="H466" s="270" t="s">
        <v>6</v>
      </c>
      <c r="I466" s="274"/>
      <c r="L466" s="273"/>
      <c r="M466" s="272"/>
      <c r="T466" s="271"/>
      <c r="AT466" s="270" t="s">
        <v>704</v>
      </c>
      <c r="AU466" s="270" t="s">
        <v>365</v>
      </c>
      <c r="AV466" s="269" t="s">
        <v>2</v>
      </c>
      <c r="AW466" s="269" t="s">
        <v>703</v>
      </c>
      <c r="AX466" s="269" t="s">
        <v>25</v>
      </c>
      <c r="AY466" s="270" t="s">
        <v>3</v>
      </c>
    </row>
    <row r="467" spans="2:65" s="108" customFormat="1">
      <c r="B467" s="112"/>
      <c r="D467" s="96" t="s">
        <v>704</v>
      </c>
      <c r="E467" s="109" t="s">
        <v>6</v>
      </c>
      <c r="F467" s="115" t="s">
        <v>2177</v>
      </c>
      <c r="H467" s="114">
        <v>18</v>
      </c>
      <c r="I467" s="113"/>
      <c r="L467" s="112"/>
      <c r="M467" s="111"/>
      <c r="T467" s="110"/>
      <c r="AT467" s="109" t="s">
        <v>704</v>
      </c>
      <c r="AU467" s="109" t="s">
        <v>365</v>
      </c>
      <c r="AV467" s="108" t="s">
        <v>365</v>
      </c>
      <c r="AW467" s="108" t="s">
        <v>703</v>
      </c>
      <c r="AX467" s="108" t="s">
        <v>2</v>
      </c>
      <c r="AY467" s="109" t="s">
        <v>3</v>
      </c>
    </row>
    <row r="468" spans="2:65" s="2" customFormat="1" ht="37.9" customHeight="1">
      <c r="B468" s="3"/>
      <c r="C468" s="125" t="s">
        <v>756</v>
      </c>
      <c r="D468" s="125" t="s">
        <v>750</v>
      </c>
      <c r="E468" s="124" t="s">
        <v>2199</v>
      </c>
      <c r="F468" s="119" t="s">
        <v>2198</v>
      </c>
      <c r="G468" s="123" t="s">
        <v>21</v>
      </c>
      <c r="H468" s="122">
        <v>18</v>
      </c>
      <c r="I468" s="121"/>
      <c r="J468" s="120">
        <f>ROUND(I468*H468,2)</f>
        <v>0</v>
      </c>
      <c r="K468" s="119" t="s">
        <v>7</v>
      </c>
      <c r="L468" s="118"/>
      <c r="M468" s="117" t="s">
        <v>6</v>
      </c>
      <c r="N468" s="116" t="s">
        <v>5</v>
      </c>
      <c r="P468" s="22">
        <f>O468*H468</f>
        <v>0</v>
      </c>
      <c r="Q468" s="22">
        <v>8.0000000000000004E-4</v>
      </c>
      <c r="R468" s="22">
        <f>Q468*H468</f>
        <v>1.4400000000000001E-2</v>
      </c>
      <c r="S468" s="22">
        <v>0</v>
      </c>
      <c r="T468" s="21">
        <f>S468*H468</f>
        <v>0</v>
      </c>
      <c r="AR468" s="6" t="s">
        <v>283</v>
      </c>
      <c r="AT468" s="6" t="s">
        <v>750</v>
      </c>
      <c r="AU468" s="6" t="s">
        <v>365</v>
      </c>
      <c r="AY468" s="7" t="s">
        <v>3</v>
      </c>
      <c r="BE468" s="8">
        <f>IF(N468="základní",J468,0)</f>
        <v>0</v>
      </c>
      <c r="BF468" s="8">
        <f>IF(N468="snížená",J468,0)</f>
        <v>0</v>
      </c>
      <c r="BG468" s="8">
        <f>IF(N468="zákl. přenesená",J468,0)</f>
        <v>0</v>
      </c>
      <c r="BH468" s="8">
        <f>IF(N468="sníž. přenesená",J468,0)</f>
        <v>0</v>
      </c>
      <c r="BI468" s="8">
        <f>IF(N468="nulová",J468,0)</f>
        <v>0</v>
      </c>
      <c r="BJ468" s="7" t="s">
        <v>2</v>
      </c>
      <c r="BK468" s="8">
        <f>ROUND(I468*H468,2)</f>
        <v>0</v>
      </c>
      <c r="BL468" s="7" t="s">
        <v>328</v>
      </c>
      <c r="BM468" s="6" t="s">
        <v>2197</v>
      </c>
    </row>
    <row r="469" spans="2:65" s="2" customFormat="1" ht="24.2" customHeight="1">
      <c r="B469" s="3"/>
      <c r="C469" s="20" t="s">
        <v>148</v>
      </c>
      <c r="D469" s="20" t="s">
        <v>4</v>
      </c>
      <c r="E469" s="19" t="s">
        <v>2196</v>
      </c>
      <c r="F469" s="14" t="s">
        <v>2195</v>
      </c>
      <c r="G469" s="18" t="s">
        <v>722</v>
      </c>
      <c r="H469" s="17">
        <v>4</v>
      </c>
      <c r="I469" s="16"/>
      <c r="J469" s="15">
        <f>ROUND(I469*H469,2)</f>
        <v>0</v>
      </c>
      <c r="K469" s="14" t="s">
        <v>7</v>
      </c>
      <c r="L469" s="3"/>
      <c r="M469" s="24" t="s">
        <v>6</v>
      </c>
      <c r="N469" s="23" t="s">
        <v>5</v>
      </c>
      <c r="P469" s="22">
        <f>O469*H469</f>
        <v>0</v>
      </c>
      <c r="Q469" s="22">
        <v>0</v>
      </c>
      <c r="R469" s="22">
        <f>Q469*H469</f>
        <v>0</v>
      </c>
      <c r="S469" s="22">
        <v>0</v>
      </c>
      <c r="T469" s="21">
        <f>S469*H469</f>
        <v>0</v>
      </c>
      <c r="AR469" s="6" t="s">
        <v>328</v>
      </c>
      <c r="AT469" s="6" t="s">
        <v>4</v>
      </c>
      <c r="AU469" s="6" t="s">
        <v>365</v>
      </c>
      <c r="AY469" s="7" t="s">
        <v>3</v>
      </c>
      <c r="BE469" s="8">
        <f>IF(N469="základní",J469,0)</f>
        <v>0</v>
      </c>
      <c r="BF469" s="8">
        <f>IF(N469="snížená",J469,0)</f>
        <v>0</v>
      </c>
      <c r="BG469" s="8">
        <f>IF(N469="zákl. přenesená",J469,0)</f>
        <v>0</v>
      </c>
      <c r="BH469" s="8">
        <f>IF(N469="sníž. přenesená",J469,0)</f>
        <v>0</v>
      </c>
      <c r="BI469" s="8">
        <f>IF(N469="nulová",J469,0)</f>
        <v>0</v>
      </c>
      <c r="BJ469" s="7" t="s">
        <v>2</v>
      </c>
      <c r="BK469" s="8">
        <f>ROUND(I469*H469,2)</f>
        <v>0</v>
      </c>
      <c r="BL469" s="7" t="s">
        <v>328</v>
      </c>
      <c r="BM469" s="6" t="s">
        <v>2194</v>
      </c>
    </row>
    <row r="470" spans="2:65" s="269" customFormat="1">
      <c r="B470" s="273"/>
      <c r="D470" s="96" t="s">
        <v>704</v>
      </c>
      <c r="E470" s="270" t="s">
        <v>6</v>
      </c>
      <c r="F470" s="275" t="s">
        <v>2170</v>
      </c>
      <c r="H470" s="270" t="s">
        <v>6</v>
      </c>
      <c r="I470" s="274"/>
      <c r="L470" s="273"/>
      <c r="M470" s="272"/>
      <c r="T470" s="271"/>
      <c r="AT470" s="270" t="s">
        <v>704</v>
      </c>
      <c r="AU470" s="270" t="s">
        <v>365</v>
      </c>
      <c r="AV470" s="269" t="s">
        <v>2</v>
      </c>
      <c r="AW470" s="269" t="s">
        <v>703</v>
      </c>
      <c r="AX470" s="269" t="s">
        <v>25</v>
      </c>
      <c r="AY470" s="270" t="s">
        <v>3</v>
      </c>
    </row>
    <row r="471" spans="2:65" s="108" customFormat="1">
      <c r="B471" s="112"/>
      <c r="D471" s="96" t="s">
        <v>704</v>
      </c>
      <c r="E471" s="109" t="s">
        <v>6</v>
      </c>
      <c r="F471" s="115" t="s">
        <v>1</v>
      </c>
      <c r="H471" s="114">
        <v>4</v>
      </c>
      <c r="I471" s="113"/>
      <c r="L471" s="112"/>
      <c r="M471" s="111"/>
      <c r="T471" s="110"/>
      <c r="AT471" s="109" t="s">
        <v>704</v>
      </c>
      <c r="AU471" s="109" t="s">
        <v>365</v>
      </c>
      <c r="AV471" s="108" t="s">
        <v>365</v>
      </c>
      <c r="AW471" s="108" t="s">
        <v>703</v>
      </c>
      <c r="AX471" s="108" t="s">
        <v>2</v>
      </c>
      <c r="AY471" s="109" t="s">
        <v>3</v>
      </c>
    </row>
    <row r="472" spans="2:65" s="2" customFormat="1" ht="16.5" customHeight="1">
      <c r="B472" s="3"/>
      <c r="C472" s="20" t="s">
        <v>748</v>
      </c>
      <c r="D472" s="20" t="s">
        <v>4</v>
      </c>
      <c r="E472" s="19" t="s">
        <v>2193</v>
      </c>
      <c r="F472" s="14" t="s">
        <v>2192</v>
      </c>
      <c r="G472" s="18" t="s">
        <v>722</v>
      </c>
      <c r="H472" s="17">
        <v>2</v>
      </c>
      <c r="I472" s="16"/>
      <c r="J472" s="15">
        <f>ROUND(I472*H472,2)</f>
        <v>0</v>
      </c>
      <c r="K472" s="14" t="s">
        <v>7</v>
      </c>
      <c r="L472" s="3"/>
      <c r="M472" s="24" t="s">
        <v>6</v>
      </c>
      <c r="N472" s="23" t="s">
        <v>5</v>
      </c>
      <c r="P472" s="22">
        <f>O472*H472</f>
        <v>0</v>
      </c>
      <c r="Q472" s="22">
        <v>0</v>
      </c>
      <c r="R472" s="22">
        <f>Q472*H472</f>
        <v>0</v>
      </c>
      <c r="S472" s="22">
        <v>0</v>
      </c>
      <c r="T472" s="21">
        <f>S472*H472</f>
        <v>0</v>
      </c>
      <c r="AR472" s="6" t="s">
        <v>328</v>
      </c>
      <c r="AT472" s="6" t="s">
        <v>4</v>
      </c>
      <c r="AU472" s="6" t="s">
        <v>365</v>
      </c>
      <c r="AY472" s="7" t="s">
        <v>3</v>
      </c>
      <c r="BE472" s="8">
        <f>IF(N472="základní",J472,0)</f>
        <v>0</v>
      </c>
      <c r="BF472" s="8">
        <f>IF(N472="snížená",J472,0)</f>
        <v>0</v>
      </c>
      <c r="BG472" s="8">
        <f>IF(N472="zákl. přenesená",J472,0)</f>
        <v>0</v>
      </c>
      <c r="BH472" s="8">
        <f>IF(N472="sníž. přenesená",J472,0)</f>
        <v>0</v>
      </c>
      <c r="BI472" s="8">
        <f>IF(N472="nulová",J472,0)</f>
        <v>0</v>
      </c>
      <c r="BJ472" s="7" t="s">
        <v>2</v>
      </c>
      <c r="BK472" s="8">
        <f>ROUND(I472*H472,2)</f>
        <v>0</v>
      </c>
      <c r="BL472" s="7" t="s">
        <v>328</v>
      </c>
      <c r="BM472" s="6" t="s">
        <v>2191</v>
      </c>
    </row>
    <row r="473" spans="2:65" s="269" customFormat="1">
      <c r="B473" s="273"/>
      <c r="D473" s="96" t="s">
        <v>704</v>
      </c>
      <c r="E473" s="270" t="s">
        <v>6</v>
      </c>
      <c r="F473" s="275" t="s">
        <v>2170</v>
      </c>
      <c r="H473" s="270" t="s">
        <v>6</v>
      </c>
      <c r="I473" s="274"/>
      <c r="L473" s="273"/>
      <c r="M473" s="272"/>
      <c r="T473" s="271"/>
      <c r="AT473" s="270" t="s">
        <v>704</v>
      </c>
      <c r="AU473" s="270" t="s">
        <v>365</v>
      </c>
      <c r="AV473" s="269" t="s">
        <v>2</v>
      </c>
      <c r="AW473" s="269" t="s">
        <v>703</v>
      </c>
      <c r="AX473" s="269" t="s">
        <v>25</v>
      </c>
      <c r="AY473" s="270" t="s">
        <v>3</v>
      </c>
    </row>
    <row r="474" spans="2:65" s="108" customFormat="1">
      <c r="B474" s="112"/>
      <c r="D474" s="96" t="s">
        <v>704</v>
      </c>
      <c r="E474" s="109" t="s">
        <v>6</v>
      </c>
      <c r="F474" s="115" t="s">
        <v>365</v>
      </c>
      <c r="H474" s="114">
        <v>2</v>
      </c>
      <c r="I474" s="113"/>
      <c r="L474" s="112"/>
      <c r="M474" s="111"/>
      <c r="T474" s="110"/>
      <c r="AT474" s="109" t="s">
        <v>704</v>
      </c>
      <c r="AU474" s="109" t="s">
        <v>365</v>
      </c>
      <c r="AV474" s="108" t="s">
        <v>365</v>
      </c>
      <c r="AW474" s="108" t="s">
        <v>703</v>
      </c>
      <c r="AX474" s="108" t="s">
        <v>2</v>
      </c>
      <c r="AY474" s="109" t="s">
        <v>3</v>
      </c>
    </row>
    <row r="475" spans="2:65" s="2" customFormat="1" ht="16.5" customHeight="1">
      <c r="B475" s="3"/>
      <c r="C475" s="20" t="s">
        <v>145</v>
      </c>
      <c r="D475" s="20" t="s">
        <v>4</v>
      </c>
      <c r="E475" s="19" t="s">
        <v>2190</v>
      </c>
      <c r="F475" s="14" t="s">
        <v>2189</v>
      </c>
      <c r="G475" s="18" t="s">
        <v>21</v>
      </c>
      <c r="H475" s="17">
        <v>1.5</v>
      </c>
      <c r="I475" s="16"/>
      <c r="J475" s="15">
        <f>ROUND(I475*H475,2)</f>
        <v>0</v>
      </c>
      <c r="K475" s="14" t="s">
        <v>7</v>
      </c>
      <c r="L475" s="3"/>
      <c r="M475" s="24" t="s">
        <v>6</v>
      </c>
      <c r="N475" s="23" t="s">
        <v>5</v>
      </c>
      <c r="P475" s="22">
        <f>O475*H475</f>
        <v>0</v>
      </c>
      <c r="Q475" s="22">
        <v>4.0000000000000002E-4</v>
      </c>
      <c r="R475" s="22">
        <f>Q475*H475</f>
        <v>6.0000000000000006E-4</v>
      </c>
      <c r="S475" s="22">
        <v>0</v>
      </c>
      <c r="T475" s="21">
        <f>S475*H475</f>
        <v>0</v>
      </c>
      <c r="AR475" s="6" t="s">
        <v>328</v>
      </c>
      <c r="AT475" s="6" t="s">
        <v>4</v>
      </c>
      <c r="AU475" s="6" t="s">
        <v>365</v>
      </c>
      <c r="AY475" s="7" t="s">
        <v>3</v>
      </c>
      <c r="BE475" s="8">
        <f>IF(N475="základní",J475,0)</f>
        <v>0</v>
      </c>
      <c r="BF475" s="8">
        <f>IF(N475="snížená",J475,0)</f>
        <v>0</v>
      </c>
      <c r="BG475" s="8">
        <f>IF(N475="zákl. přenesená",J475,0)</f>
        <v>0</v>
      </c>
      <c r="BH475" s="8">
        <f>IF(N475="sníž. přenesená",J475,0)</f>
        <v>0</v>
      </c>
      <c r="BI475" s="8">
        <f>IF(N475="nulová",J475,0)</f>
        <v>0</v>
      </c>
      <c r="BJ475" s="7" t="s">
        <v>2</v>
      </c>
      <c r="BK475" s="8">
        <f>ROUND(I475*H475,2)</f>
        <v>0</v>
      </c>
      <c r="BL475" s="7" t="s">
        <v>328</v>
      </c>
      <c r="BM475" s="6" t="s">
        <v>2188</v>
      </c>
    </row>
    <row r="476" spans="2:65" s="269" customFormat="1">
      <c r="B476" s="273"/>
      <c r="D476" s="96" t="s">
        <v>704</v>
      </c>
      <c r="E476" s="270" t="s">
        <v>6</v>
      </c>
      <c r="F476" s="275" t="s">
        <v>2170</v>
      </c>
      <c r="H476" s="270" t="s">
        <v>6</v>
      </c>
      <c r="I476" s="274"/>
      <c r="L476" s="273"/>
      <c r="M476" s="272"/>
      <c r="T476" s="271"/>
      <c r="AT476" s="270" t="s">
        <v>704</v>
      </c>
      <c r="AU476" s="270" t="s">
        <v>365</v>
      </c>
      <c r="AV476" s="269" t="s">
        <v>2</v>
      </c>
      <c r="AW476" s="269" t="s">
        <v>703</v>
      </c>
      <c r="AX476" s="269" t="s">
        <v>25</v>
      </c>
      <c r="AY476" s="270" t="s">
        <v>3</v>
      </c>
    </row>
    <row r="477" spans="2:65" s="108" customFormat="1">
      <c r="B477" s="112"/>
      <c r="D477" s="96" t="s">
        <v>704</v>
      </c>
      <c r="E477" s="109" t="s">
        <v>6</v>
      </c>
      <c r="F477" s="115" t="s">
        <v>2187</v>
      </c>
      <c r="H477" s="114">
        <v>1.5</v>
      </c>
      <c r="I477" s="113"/>
      <c r="L477" s="112"/>
      <c r="M477" s="111"/>
      <c r="T477" s="110"/>
      <c r="AT477" s="109" t="s">
        <v>704</v>
      </c>
      <c r="AU477" s="109" t="s">
        <v>365</v>
      </c>
      <c r="AV477" s="108" t="s">
        <v>365</v>
      </c>
      <c r="AW477" s="108" t="s">
        <v>703</v>
      </c>
      <c r="AX477" s="108" t="s">
        <v>2</v>
      </c>
      <c r="AY477" s="109" t="s">
        <v>3</v>
      </c>
    </row>
    <row r="478" spans="2:65" s="2" customFormat="1" ht="33" customHeight="1">
      <c r="B478" s="3"/>
      <c r="C478" s="20" t="s">
        <v>738</v>
      </c>
      <c r="D478" s="20" t="s">
        <v>4</v>
      </c>
      <c r="E478" s="19" t="s">
        <v>2186</v>
      </c>
      <c r="F478" s="14" t="s">
        <v>2185</v>
      </c>
      <c r="G478" s="18" t="s">
        <v>21</v>
      </c>
      <c r="H478" s="17">
        <v>18</v>
      </c>
      <c r="I478" s="16"/>
      <c r="J478" s="15">
        <f>ROUND(I478*H478,2)</f>
        <v>0</v>
      </c>
      <c r="K478" s="14" t="s">
        <v>7</v>
      </c>
      <c r="L478" s="3"/>
      <c r="M478" s="24" t="s">
        <v>6</v>
      </c>
      <c r="N478" s="23" t="s">
        <v>5</v>
      </c>
      <c r="P478" s="22">
        <f>O478*H478</f>
        <v>0</v>
      </c>
      <c r="Q478" s="22">
        <v>4.0000000000000003E-5</v>
      </c>
      <c r="R478" s="22">
        <f>Q478*H478</f>
        <v>7.2000000000000005E-4</v>
      </c>
      <c r="S478" s="22">
        <v>0</v>
      </c>
      <c r="T478" s="21">
        <f>S478*H478</f>
        <v>0</v>
      </c>
      <c r="AR478" s="6" t="s">
        <v>328</v>
      </c>
      <c r="AT478" s="6" t="s">
        <v>4</v>
      </c>
      <c r="AU478" s="6" t="s">
        <v>365</v>
      </c>
      <c r="AY478" s="7" t="s">
        <v>3</v>
      </c>
      <c r="BE478" s="8">
        <f>IF(N478="základní",J478,0)</f>
        <v>0</v>
      </c>
      <c r="BF478" s="8">
        <f>IF(N478="snížená",J478,0)</f>
        <v>0</v>
      </c>
      <c r="BG478" s="8">
        <f>IF(N478="zákl. přenesená",J478,0)</f>
        <v>0</v>
      </c>
      <c r="BH478" s="8">
        <f>IF(N478="sníž. přenesená",J478,0)</f>
        <v>0</v>
      </c>
      <c r="BI478" s="8">
        <f>IF(N478="nulová",J478,0)</f>
        <v>0</v>
      </c>
      <c r="BJ478" s="7" t="s">
        <v>2</v>
      </c>
      <c r="BK478" s="8">
        <f>ROUND(I478*H478,2)</f>
        <v>0</v>
      </c>
      <c r="BL478" s="7" t="s">
        <v>328</v>
      </c>
      <c r="BM478" s="6" t="s">
        <v>2184</v>
      </c>
    </row>
    <row r="479" spans="2:65" s="269" customFormat="1">
      <c r="B479" s="273"/>
      <c r="D479" s="96" t="s">
        <v>704</v>
      </c>
      <c r="E479" s="270" t="s">
        <v>6</v>
      </c>
      <c r="F479" s="275" t="s">
        <v>2170</v>
      </c>
      <c r="H479" s="270" t="s">
        <v>6</v>
      </c>
      <c r="I479" s="274"/>
      <c r="L479" s="273"/>
      <c r="M479" s="272"/>
      <c r="T479" s="271"/>
      <c r="AT479" s="270" t="s">
        <v>704</v>
      </c>
      <c r="AU479" s="270" t="s">
        <v>365</v>
      </c>
      <c r="AV479" s="269" t="s">
        <v>2</v>
      </c>
      <c r="AW479" s="269" t="s">
        <v>703</v>
      </c>
      <c r="AX479" s="269" t="s">
        <v>25</v>
      </c>
      <c r="AY479" s="270" t="s">
        <v>3</v>
      </c>
    </row>
    <row r="480" spans="2:65" s="108" customFormat="1">
      <c r="B480" s="112"/>
      <c r="D480" s="96" t="s">
        <v>704</v>
      </c>
      <c r="E480" s="109" t="s">
        <v>6</v>
      </c>
      <c r="F480" s="115" t="s">
        <v>2177</v>
      </c>
      <c r="H480" s="114">
        <v>18</v>
      </c>
      <c r="I480" s="113"/>
      <c r="L480" s="112"/>
      <c r="M480" s="111"/>
      <c r="T480" s="110"/>
      <c r="AT480" s="109" t="s">
        <v>704</v>
      </c>
      <c r="AU480" s="109" t="s">
        <v>365</v>
      </c>
      <c r="AV480" s="108" t="s">
        <v>365</v>
      </c>
      <c r="AW480" s="108" t="s">
        <v>703</v>
      </c>
      <c r="AX480" s="108" t="s">
        <v>2</v>
      </c>
      <c r="AY480" s="109" t="s">
        <v>3</v>
      </c>
    </row>
    <row r="481" spans="2:65" s="2" customFormat="1" ht="55.5" customHeight="1">
      <c r="B481" s="3"/>
      <c r="C481" s="125" t="s">
        <v>142</v>
      </c>
      <c r="D481" s="125" t="s">
        <v>750</v>
      </c>
      <c r="E481" s="124" t="s">
        <v>2183</v>
      </c>
      <c r="F481" s="119" t="s">
        <v>2182</v>
      </c>
      <c r="G481" s="123" t="s">
        <v>21</v>
      </c>
      <c r="H481" s="122">
        <v>18</v>
      </c>
      <c r="I481" s="121"/>
      <c r="J481" s="120">
        <f>ROUND(I481*H481,2)</f>
        <v>0</v>
      </c>
      <c r="K481" s="119" t="s">
        <v>7</v>
      </c>
      <c r="L481" s="118"/>
      <c r="M481" s="117" t="s">
        <v>6</v>
      </c>
      <c r="N481" s="116" t="s">
        <v>5</v>
      </c>
      <c r="P481" s="22">
        <f>O481*H481</f>
        <v>0</v>
      </c>
      <c r="Q481" s="22">
        <v>4.0000000000000002E-4</v>
      </c>
      <c r="R481" s="22">
        <f>Q481*H481</f>
        <v>7.2000000000000007E-3</v>
      </c>
      <c r="S481" s="22">
        <v>0</v>
      </c>
      <c r="T481" s="21">
        <f>S481*H481</f>
        <v>0</v>
      </c>
      <c r="AR481" s="6" t="s">
        <v>283</v>
      </c>
      <c r="AT481" s="6" t="s">
        <v>750</v>
      </c>
      <c r="AU481" s="6" t="s">
        <v>365</v>
      </c>
      <c r="AY481" s="7" t="s">
        <v>3</v>
      </c>
      <c r="BE481" s="8">
        <f>IF(N481="základní",J481,0)</f>
        <v>0</v>
      </c>
      <c r="BF481" s="8">
        <f>IF(N481="snížená",J481,0)</f>
        <v>0</v>
      </c>
      <c r="BG481" s="8">
        <f>IF(N481="zákl. přenesená",J481,0)</f>
        <v>0</v>
      </c>
      <c r="BH481" s="8">
        <f>IF(N481="sníž. přenesená",J481,0)</f>
        <v>0</v>
      </c>
      <c r="BI481" s="8">
        <f>IF(N481="nulová",J481,0)</f>
        <v>0</v>
      </c>
      <c r="BJ481" s="7" t="s">
        <v>2</v>
      </c>
      <c r="BK481" s="8">
        <f>ROUND(I481*H481,2)</f>
        <v>0</v>
      </c>
      <c r="BL481" s="7" t="s">
        <v>328</v>
      </c>
      <c r="BM481" s="6" t="s">
        <v>2181</v>
      </c>
    </row>
    <row r="482" spans="2:65" s="2" customFormat="1" ht="33" customHeight="1">
      <c r="B482" s="3"/>
      <c r="C482" s="20" t="s">
        <v>725</v>
      </c>
      <c r="D482" s="20" t="s">
        <v>4</v>
      </c>
      <c r="E482" s="19" t="s">
        <v>2180</v>
      </c>
      <c r="F482" s="14" t="s">
        <v>2179</v>
      </c>
      <c r="G482" s="18" t="s">
        <v>21</v>
      </c>
      <c r="H482" s="17">
        <v>18</v>
      </c>
      <c r="I482" s="16"/>
      <c r="J482" s="15">
        <f>ROUND(I482*H482,2)</f>
        <v>0</v>
      </c>
      <c r="K482" s="14" t="s">
        <v>7</v>
      </c>
      <c r="L482" s="3"/>
      <c r="M482" s="24" t="s">
        <v>6</v>
      </c>
      <c r="N482" s="23" t="s">
        <v>5</v>
      </c>
      <c r="P482" s="22">
        <f>O482*H482</f>
        <v>0</v>
      </c>
      <c r="Q482" s="22">
        <v>5.0000000000000002E-5</v>
      </c>
      <c r="R482" s="22">
        <f>Q482*H482</f>
        <v>9.0000000000000008E-4</v>
      </c>
      <c r="S482" s="22">
        <v>0</v>
      </c>
      <c r="T482" s="21">
        <f>S482*H482</f>
        <v>0</v>
      </c>
      <c r="AR482" s="6" t="s">
        <v>328</v>
      </c>
      <c r="AT482" s="6" t="s">
        <v>4</v>
      </c>
      <c r="AU482" s="6" t="s">
        <v>365</v>
      </c>
      <c r="AY482" s="7" t="s">
        <v>3</v>
      </c>
      <c r="BE482" s="8">
        <f>IF(N482="základní",J482,0)</f>
        <v>0</v>
      </c>
      <c r="BF482" s="8">
        <f>IF(N482="snížená",J482,0)</f>
        <v>0</v>
      </c>
      <c r="BG482" s="8">
        <f>IF(N482="zákl. přenesená",J482,0)</f>
        <v>0</v>
      </c>
      <c r="BH482" s="8">
        <f>IF(N482="sníž. přenesená",J482,0)</f>
        <v>0</v>
      </c>
      <c r="BI482" s="8">
        <f>IF(N482="nulová",J482,0)</f>
        <v>0</v>
      </c>
      <c r="BJ482" s="7" t="s">
        <v>2</v>
      </c>
      <c r="BK482" s="8">
        <f>ROUND(I482*H482,2)</f>
        <v>0</v>
      </c>
      <c r="BL482" s="7" t="s">
        <v>328</v>
      </c>
      <c r="BM482" s="6" t="s">
        <v>2178</v>
      </c>
    </row>
    <row r="483" spans="2:65" s="269" customFormat="1">
      <c r="B483" s="273"/>
      <c r="D483" s="96" t="s">
        <v>704</v>
      </c>
      <c r="E483" s="270" t="s">
        <v>6</v>
      </c>
      <c r="F483" s="275" t="s">
        <v>2170</v>
      </c>
      <c r="H483" s="270" t="s">
        <v>6</v>
      </c>
      <c r="I483" s="274"/>
      <c r="L483" s="273"/>
      <c r="M483" s="272"/>
      <c r="T483" s="271"/>
      <c r="AT483" s="270" t="s">
        <v>704</v>
      </c>
      <c r="AU483" s="270" t="s">
        <v>365</v>
      </c>
      <c r="AV483" s="269" t="s">
        <v>2</v>
      </c>
      <c r="AW483" s="269" t="s">
        <v>703</v>
      </c>
      <c r="AX483" s="269" t="s">
        <v>25</v>
      </c>
      <c r="AY483" s="270" t="s">
        <v>3</v>
      </c>
    </row>
    <row r="484" spans="2:65" s="108" customFormat="1">
      <c r="B484" s="112"/>
      <c r="D484" s="96" t="s">
        <v>704</v>
      </c>
      <c r="E484" s="109" t="s">
        <v>6</v>
      </c>
      <c r="F484" s="115" t="s">
        <v>2177</v>
      </c>
      <c r="H484" s="114">
        <v>18</v>
      </c>
      <c r="I484" s="113"/>
      <c r="L484" s="112"/>
      <c r="M484" s="111"/>
      <c r="T484" s="110"/>
      <c r="AT484" s="109" t="s">
        <v>704</v>
      </c>
      <c r="AU484" s="109" t="s">
        <v>365</v>
      </c>
      <c r="AV484" s="108" t="s">
        <v>365</v>
      </c>
      <c r="AW484" s="108" t="s">
        <v>703</v>
      </c>
      <c r="AX484" s="108" t="s">
        <v>2</v>
      </c>
      <c r="AY484" s="109" t="s">
        <v>3</v>
      </c>
    </row>
    <row r="485" spans="2:65" s="2" customFormat="1" ht="55.5" customHeight="1">
      <c r="B485" s="3"/>
      <c r="C485" s="125" t="s">
        <v>138</v>
      </c>
      <c r="D485" s="125" t="s">
        <v>750</v>
      </c>
      <c r="E485" s="124" t="s">
        <v>2176</v>
      </c>
      <c r="F485" s="119" t="s">
        <v>2175</v>
      </c>
      <c r="G485" s="123" t="s">
        <v>21</v>
      </c>
      <c r="H485" s="122">
        <v>18</v>
      </c>
      <c r="I485" s="121"/>
      <c r="J485" s="120">
        <f>ROUND(I485*H485,2)</f>
        <v>0</v>
      </c>
      <c r="K485" s="119" t="s">
        <v>7</v>
      </c>
      <c r="L485" s="118"/>
      <c r="M485" s="117" t="s">
        <v>6</v>
      </c>
      <c r="N485" s="116" t="s">
        <v>5</v>
      </c>
      <c r="P485" s="22">
        <f>O485*H485</f>
        <v>0</v>
      </c>
      <c r="Q485" s="22">
        <v>5.0000000000000001E-4</v>
      </c>
      <c r="R485" s="22">
        <f>Q485*H485</f>
        <v>9.0000000000000011E-3</v>
      </c>
      <c r="S485" s="22">
        <v>0</v>
      </c>
      <c r="T485" s="21">
        <f>S485*H485</f>
        <v>0</v>
      </c>
      <c r="AR485" s="6" t="s">
        <v>283</v>
      </c>
      <c r="AT485" s="6" t="s">
        <v>750</v>
      </c>
      <c r="AU485" s="6" t="s">
        <v>365</v>
      </c>
      <c r="AY485" s="7" t="s">
        <v>3</v>
      </c>
      <c r="BE485" s="8">
        <f>IF(N485="základní",J485,0)</f>
        <v>0</v>
      </c>
      <c r="BF485" s="8">
        <f>IF(N485="snížená",J485,0)</f>
        <v>0</v>
      </c>
      <c r="BG485" s="8">
        <f>IF(N485="zákl. přenesená",J485,0)</f>
        <v>0</v>
      </c>
      <c r="BH485" s="8">
        <f>IF(N485="sníž. přenesená",J485,0)</f>
        <v>0</v>
      </c>
      <c r="BI485" s="8">
        <f>IF(N485="nulová",J485,0)</f>
        <v>0</v>
      </c>
      <c r="BJ485" s="7" t="s">
        <v>2</v>
      </c>
      <c r="BK485" s="8">
        <f>ROUND(I485*H485,2)</f>
        <v>0</v>
      </c>
      <c r="BL485" s="7" t="s">
        <v>328</v>
      </c>
      <c r="BM485" s="6" t="s">
        <v>2174</v>
      </c>
    </row>
    <row r="486" spans="2:65" s="2" customFormat="1" ht="16.5" customHeight="1">
      <c r="B486" s="3"/>
      <c r="C486" s="20" t="s">
        <v>720</v>
      </c>
      <c r="D486" s="20" t="s">
        <v>4</v>
      </c>
      <c r="E486" s="19" t="s">
        <v>2173</v>
      </c>
      <c r="F486" s="14" t="s">
        <v>2172</v>
      </c>
      <c r="G486" s="18" t="s">
        <v>714</v>
      </c>
      <c r="H486" s="17">
        <v>1</v>
      </c>
      <c r="I486" s="16"/>
      <c r="J486" s="15">
        <f>ROUND(I486*H486,2)</f>
        <v>0</v>
      </c>
      <c r="K486" s="14" t="s">
        <v>7</v>
      </c>
      <c r="L486" s="3"/>
      <c r="M486" s="24" t="s">
        <v>6</v>
      </c>
      <c r="N486" s="23" t="s">
        <v>5</v>
      </c>
      <c r="P486" s="22">
        <f>O486*H486</f>
        <v>0</v>
      </c>
      <c r="Q486" s="22">
        <v>4.4999999999999997E-3</v>
      </c>
      <c r="R486" s="22">
        <f>Q486*H486</f>
        <v>4.4999999999999997E-3</v>
      </c>
      <c r="S486" s="22">
        <v>0</v>
      </c>
      <c r="T486" s="21">
        <f>S486*H486</f>
        <v>0</v>
      </c>
      <c r="AR486" s="6" t="s">
        <v>328</v>
      </c>
      <c r="AT486" s="6" t="s">
        <v>4</v>
      </c>
      <c r="AU486" s="6" t="s">
        <v>365</v>
      </c>
      <c r="AY486" s="7" t="s">
        <v>3</v>
      </c>
      <c r="BE486" s="8">
        <f>IF(N486="základní",J486,0)</f>
        <v>0</v>
      </c>
      <c r="BF486" s="8">
        <f>IF(N486="snížená",J486,0)</f>
        <v>0</v>
      </c>
      <c r="BG486" s="8">
        <f>IF(N486="zákl. přenesená",J486,0)</f>
        <v>0</v>
      </c>
      <c r="BH486" s="8">
        <f>IF(N486="sníž. přenesená",J486,0)</f>
        <v>0</v>
      </c>
      <c r="BI486" s="8">
        <f>IF(N486="nulová",J486,0)</f>
        <v>0</v>
      </c>
      <c r="BJ486" s="7" t="s">
        <v>2</v>
      </c>
      <c r="BK486" s="8">
        <f>ROUND(I486*H486,2)</f>
        <v>0</v>
      </c>
      <c r="BL486" s="7" t="s">
        <v>328</v>
      </c>
      <c r="BM486" s="6" t="s">
        <v>2171</v>
      </c>
    </row>
    <row r="487" spans="2:65" s="269" customFormat="1">
      <c r="B487" s="273"/>
      <c r="D487" s="96" t="s">
        <v>704</v>
      </c>
      <c r="E487" s="270" t="s">
        <v>6</v>
      </c>
      <c r="F487" s="275" t="s">
        <v>2170</v>
      </c>
      <c r="H487" s="270" t="s">
        <v>6</v>
      </c>
      <c r="I487" s="274"/>
      <c r="L487" s="273"/>
      <c r="M487" s="272"/>
      <c r="T487" s="271"/>
      <c r="AT487" s="270" t="s">
        <v>704</v>
      </c>
      <c r="AU487" s="270" t="s">
        <v>365</v>
      </c>
      <c r="AV487" s="269" t="s">
        <v>2</v>
      </c>
      <c r="AW487" s="269" t="s">
        <v>703</v>
      </c>
      <c r="AX487" s="269" t="s">
        <v>25</v>
      </c>
      <c r="AY487" s="270" t="s">
        <v>3</v>
      </c>
    </row>
    <row r="488" spans="2:65" s="108" customFormat="1">
      <c r="B488" s="112"/>
      <c r="D488" s="96" t="s">
        <v>704</v>
      </c>
      <c r="E488" s="109" t="s">
        <v>6</v>
      </c>
      <c r="F488" s="115" t="s">
        <v>2</v>
      </c>
      <c r="H488" s="114">
        <v>1</v>
      </c>
      <c r="I488" s="113"/>
      <c r="L488" s="112"/>
      <c r="M488" s="111"/>
      <c r="T488" s="110"/>
      <c r="AT488" s="109" t="s">
        <v>704</v>
      </c>
      <c r="AU488" s="109" t="s">
        <v>365</v>
      </c>
      <c r="AV488" s="108" t="s">
        <v>365</v>
      </c>
      <c r="AW488" s="108" t="s">
        <v>703</v>
      </c>
      <c r="AX488" s="108" t="s">
        <v>2</v>
      </c>
      <c r="AY488" s="109" t="s">
        <v>3</v>
      </c>
    </row>
    <row r="489" spans="2:65" s="2" customFormat="1" ht="16.5" customHeight="1">
      <c r="B489" s="3"/>
      <c r="C489" s="20" t="s">
        <v>134</v>
      </c>
      <c r="D489" s="20" t="s">
        <v>4</v>
      </c>
      <c r="E489" s="19" t="s">
        <v>2169</v>
      </c>
      <c r="F489" s="14" t="s">
        <v>2168</v>
      </c>
      <c r="G489" s="18" t="s">
        <v>714</v>
      </c>
      <c r="H489" s="17">
        <v>1</v>
      </c>
      <c r="I489" s="16"/>
      <c r="J489" s="15">
        <f>ROUND(I489*H489,2)</f>
        <v>0</v>
      </c>
      <c r="K489" s="14" t="s">
        <v>7</v>
      </c>
      <c r="L489" s="3"/>
      <c r="M489" s="24" t="s">
        <v>6</v>
      </c>
      <c r="N489" s="23" t="s">
        <v>5</v>
      </c>
      <c r="P489" s="22">
        <f>O489*H489</f>
        <v>0</v>
      </c>
      <c r="Q489" s="22">
        <v>0</v>
      </c>
      <c r="R489" s="22">
        <f>Q489*H489</f>
        <v>0</v>
      </c>
      <c r="S489" s="22">
        <v>0</v>
      </c>
      <c r="T489" s="21">
        <f>S489*H489</f>
        <v>0</v>
      </c>
      <c r="AR489" s="6" t="s">
        <v>328</v>
      </c>
      <c r="AT489" s="6" t="s">
        <v>4</v>
      </c>
      <c r="AU489" s="6" t="s">
        <v>365</v>
      </c>
      <c r="AY489" s="7" t="s">
        <v>3</v>
      </c>
      <c r="BE489" s="8">
        <f>IF(N489="základní",J489,0)</f>
        <v>0</v>
      </c>
      <c r="BF489" s="8">
        <f>IF(N489="snížená",J489,0)</f>
        <v>0</v>
      </c>
      <c r="BG489" s="8">
        <f>IF(N489="zákl. přenesená",J489,0)</f>
        <v>0</v>
      </c>
      <c r="BH489" s="8">
        <f>IF(N489="sníž. přenesená",J489,0)</f>
        <v>0</v>
      </c>
      <c r="BI489" s="8">
        <f>IF(N489="nulová",J489,0)</f>
        <v>0</v>
      </c>
      <c r="BJ489" s="7" t="s">
        <v>2</v>
      </c>
      <c r="BK489" s="8">
        <f>ROUND(I489*H489,2)</f>
        <v>0</v>
      </c>
      <c r="BL489" s="7" t="s">
        <v>328</v>
      </c>
      <c r="BM489" s="6" t="s">
        <v>2167</v>
      </c>
    </row>
    <row r="490" spans="2:65" s="2" customFormat="1" ht="16.5" customHeight="1">
      <c r="B490" s="3"/>
      <c r="C490" s="20" t="s">
        <v>710</v>
      </c>
      <c r="D490" s="20" t="s">
        <v>4</v>
      </c>
      <c r="E490" s="19" t="s">
        <v>2166</v>
      </c>
      <c r="F490" s="14" t="s">
        <v>2165</v>
      </c>
      <c r="G490" s="18" t="s">
        <v>714</v>
      </c>
      <c r="H490" s="17">
        <v>1</v>
      </c>
      <c r="I490" s="16"/>
      <c r="J490" s="15">
        <f>ROUND(I490*H490,2)</f>
        <v>0</v>
      </c>
      <c r="K490" s="14" t="s">
        <v>7</v>
      </c>
      <c r="L490" s="3"/>
      <c r="M490" s="24" t="s">
        <v>6</v>
      </c>
      <c r="N490" s="23" t="s">
        <v>5</v>
      </c>
      <c r="P490" s="22">
        <f>O490*H490</f>
        <v>0</v>
      </c>
      <c r="Q490" s="22">
        <v>0</v>
      </c>
      <c r="R490" s="22">
        <f>Q490*H490</f>
        <v>0</v>
      </c>
      <c r="S490" s="22">
        <v>0</v>
      </c>
      <c r="T490" s="21">
        <f>S490*H490</f>
        <v>0</v>
      </c>
      <c r="AR490" s="6" t="s">
        <v>328</v>
      </c>
      <c r="AT490" s="6" t="s">
        <v>4</v>
      </c>
      <c r="AU490" s="6" t="s">
        <v>365</v>
      </c>
      <c r="AY490" s="7" t="s">
        <v>3</v>
      </c>
      <c r="BE490" s="8">
        <f>IF(N490="základní",J490,0)</f>
        <v>0</v>
      </c>
      <c r="BF490" s="8">
        <f>IF(N490="snížená",J490,0)</f>
        <v>0</v>
      </c>
      <c r="BG490" s="8">
        <f>IF(N490="zákl. přenesená",J490,0)</f>
        <v>0</v>
      </c>
      <c r="BH490" s="8">
        <f>IF(N490="sníž. přenesená",J490,0)</f>
        <v>0</v>
      </c>
      <c r="BI490" s="8">
        <f>IF(N490="nulová",J490,0)</f>
        <v>0</v>
      </c>
      <c r="BJ490" s="7" t="s">
        <v>2</v>
      </c>
      <c r="BK490" s="8">
        <f>ROUND(I490*H490,2)</f>
        <v>0</v>
      </c>
      <c r="BL490" s="7" t="s">
        <v>328</v>
      </c>
      <c r="BM490" s="6" t="s">
        <v>2164</v>
      </c>
    </row>
    <row r="491" spans="2:65" s="2" customFormat="1" ht="24.2" customHeight="1">
      <c r="B491" s="3"/>
      <c r="C491" s="20" t="s">
        <v>130</v>
      </c>
      <c r="D491" s="20" t="s">
        <v>4</v>
      </c>
      <c r="E491" s="19" t="s">
        <v>2067</v>
      </c>
      <c r="F491" s="14" t="s">
        <v>2066</v>
      </c>
      <c r="G491" s="18" t="s">
        <v>735</v>
      </c>
      <c r="H491" s="17">
        <v>0.32100000000000001</v>
      </c>
      <c r="I491" s="16"/>
      <c r="J491" s="15">
        <f>ROUND(I491*H491,2)</f>
        <v>0</v>
      </c>
      <c r="K491" s="14" t="s">
        <v>654</v>
      </c>
      <c r="L491" s="3"/>
      <c r="M491" s="24" t="s">
        <v>6</v>
      </c>
      <c r="N491" s="23" t="s">
        <v>5</v>
      </c>
      <c r="P491" s="22">
        <f>O491*H491</f>
        <v>0</v>
      </c>
      <c r="Q491" s="22">
        <v>0</v>
      </c>
      <c r="R491" s="22">
        <f>Q491*H491</f>
        <v>0</v>
      </c>
      <c r="S491" s="22">
        <v>0</v>
      </c>
      <c r="T491" s="21">
        <f>S491*H491</f>
        <v>0</v>
      </c>
      <c r="AR491" s="6" t="s">
        <v>328</v>
      </c>
      <c r="AT491" s="6" t="s">
        <v>4</v>
      </c>
      <c r="AU491" s="6" t="s">
        <v>365</v>
      </c>
      <c r="AY491" s="7" t="s">
        <v>3</v>
      </c>
      <c r="BE491" s="8">
        <f>IF(N491="základní",J491,0)</f>
        <v>0</v>
      </c>
      <c r="BF491" s="8">
        <f>IF(N491="snížená",J491,0)</f>
        <v>0</v>
      </c>
      <c r="BG491" s="8">
        <f>IF(N491="zákl. přenesená",J491,0)</f>
        <v>0</v>
      </c>
      <c r="BH491" s="8">
        <f>IF(N491="sníž. přenesená",J491,0)</f>
        <v>0</v>
      </c>
      <c r="BI491" s="8">
        <f>IF(N491="nulová",J491,0)</f>
        <v>0</v>
      </c>
      <c r="BJ491" s="7" t="s">
        <v>2</v>
      </c>
      <c r="BK491" s="8">
        <f>ROUND(I491*H491,2)</f>
        <v>0</v>
      </c>
      <c r="BL491" s="7" t="s">
        <v>328</v>
      </c>
      <c r="BM491" s="6" t="s">
        <v>2163</v>
      </c>
    </row>
    <row r="492" spans="2:65" s="2" customFormat="1">
      <c r="B492" s="3"/>
      <c r="D492" s="107" t="s">
        <v>651</v>
      </c>
      <c r="F492" s="106" t="s">
        <v>2064</v>
      </c>
      <c r="I492" s="94"/>
      <c r="L492" s="3"/>
      <c r="M492" s="100"/>
      <c r="T492" s="99"/>
      <c r="AT492" s="7" t="s">
        <v>651</v>
      </c>
      <c r="AU492" s="7" t="s">
        <v>365</v>
      </c>
    </row>
    <row r="493" spans="2:65" s="2" customFormat="1" ht="78">
      <c r="B493" s="3"/>
      <c r="D493" s="96" t="s">
        <v>731</v>
      </c>
      <c r="F493" s="95" t="s">
        <v>2059</v>
      </c>
      <c r="I493" s="94"/>
      <c r="L493" s="3"/>
      <c r="M493" s="100"/>
      <c r="T493" s="99"/>
      <c r="AT493" s="7" t="s">
        <v>731</v>
      </c>
      <c r="AU493" s="7" t="s">
        <v>365</v>
      </c>
    </row>
    <row r="494" spans="2:65" s="2" customFormat="1" ht="24.2" customHeight="1">
      <c r="B494" s="3"/>
      <c r="C494" s="20" t="s">
        <v>698</v>
      </c>
      <c r="D494" s="20" t="s">
        <v>4</v>
      </c>
      <c r="E494" s="19" t="s">
        <v>2063</v>
      </c>
      <c r="F494" s="14" t="s">
        <v>2062</v>
      </c>
      <c r="G494" s="18" t="s">
        <v>735</v>
      </c>
      <c r="H494" s="17">
        <v>0.32100000000000001</v>
      </c>
      <c r="I494" s="16"/>
      <c r="J494" s="15">
        <f>ROUND(I494*H494,2)</f>
        <v>0</v>
      </c>
      <c r="K494" s="14" t="s">
        <v>654</v>
      </c>
      <c r="L494" s="3"/>
      <c r="M494" s="24" t="s">
        <v>6</v>
      </c>
      <c r="N494" s="23" t="s">
        <v>5</v>
      </c>
      <c r="P494" s="22">
        <f>O494*H494</f>
        <v>0</v>
      </c>
      <c r="Q494" s="22">
        <v>0</v>
      </c>
      <c r="R494" s="22">
        <f>Q494*H494</f>
        <v>0</v>
      </c>
      <c r="S494" s="22">
        <v>0</v>
      </c>
      <c r="T494" s="21">
        <f>S494*H494</f>
        <v>0</v>
      </c>
      <c r="AR494" s="6" t="s">
        <v>328</v>
      </c>
      <c r="AT494" s="6" t="s">
        <v>4</v>
      </c>
      <c r="AU494" s="6" t="s">
        <v>365</v>
      </c>
      <c r="AY494" s="7" t="s">
        <v>3</v>
      </c>
      <c r="BE494" s="8">
        <f>IF(N494="základní",J494,0)</f>
        <v>0</v>
      </c>
      <c r="BF494" s="8">
        <f>IF(N494="snížená",J494,0)</f>
        <v>0</v>
      </c>
      <c r="BG494" s="8">
        <f>IF(N494="zákl. přenesená",J494,0)</f>
        <v>0</v>
      </c>
      <c r="BH494" s="8">
        <f>IF(N494="sníž. přenesená",J494,0)</f>
        <v>0</v>
      </c>
      <c r="BI494" s="8">
        <f>IF(N494="nulová",J494,0)</f>
        <v>0</v>
      </c>
      <c r="BJ494" s="7" t="s">
        <v>2</v>
      </c>
      <c r="BK494" s="8">
        <f>ROUND(I494*H494,2)</f>
        <v>0</v>
      </c>
      <c r="BL494" s="7" t="s">
        <v>328</v>
      </c>
      <c r="BM494" s="6" t="s">
        <v>2162</v>
      </c>
    </row>
    <row r="495" spans="2:65" s="2" customFormat="1">
      <c r="B495" s="3"/>
      <c r="D495" s="107" t="s">
        <v>651</v>
      </c>
      <c r="F495" s="106" t="s">
        <v>2060</v>
      </c>
      <c r="I495" s="94"/>
      <c r="L495" s="3"/>
      <c r="M495" s="100"/>
      <c r="T495" s="99"/>
      <c r="AT495" s="7" t="s">
        <v>651</v>
      </c>
      <c r="AU495" s="7" t="s">
        <v>365</v>
      </c>
    </row>
    <row r="496" spans="2:65" s="2" customFormat="1" ht="78">
      <c r="B496" s="3"/>
      <c r="D496" s="96" t="s">
        <v>731</v>
      </c>
      <c r="F496" s="95" t="s">
        <v>2059</v>
      </c>
      <c r="I496" s="94"/>
      <c r="L496" s="3"/>
      <c r="M496" s="100"/>
      <c r="T496" s="99"/>
      <c r="AT496" s="7" t="s">
        <v>731</v>
      </c>
      <c r="AU496" s="7" t="s">
        <v>365</v>
      </c>
    </row>
    <row r="497" spans="2:65" s="25" customFormat="1" ht="22.9" customHeight="1">
      <c r="B497" s="32"/>
      <c r="D497" s="27" t="s">
        <v>26</v>
      </c>
      <c r="E497" s="98" t="s">
        <v>2161</v>
      </c>
      <c r="F497" s="98" t="s">
        <v>2160</v>
      </c>
      <c r="I497" s="34"/>
      <c r="J497" s="97">
        <f>BK497</f>
        <v>0</v>
      </c>
      <c r="L497" s="32"/>
      <c r="M497" s="31"/>
      <c r="P497" s="30">
        <f>SUM(P498:P543)</f>
        <v>0</v>
      </c>
      <c r="R497" s="30">
        <f>SUM(R498:R543)</f>
        <v>0.15282000000000001</v>
      </c>
      <c r="T497" s="29">
        <f>SUM(T498:T543)</f>
        <v>0</v>
      </c>
      <c r="AR497" s="27" t="s">
        <v>365</v>
      </c>
      <c r="AT497" s="28" t="s">
        <v>26</v>
      </c>
      <c r="AU497" s="28" t="s">
        <v>2</v>
      </c>
      <c r="AY497" s="27" t="s">
        <v>3</v>
      </c>
      <c r="BK497" s="26">
        <f>SUM(BK498:BK543)</f>
        <v>0</v>
      </c>
    </row>
    <row r="498" spans="2:65" s="2" customFormat="1" ht="24.2" customHeight="1">
      <c r="B498" s="3"/>
      <c r="C498" s="20" t="s">
        <v>126</v>
      </c>
      <c r="D498" s="20" t="s">
        <v>4</v>
      </c>
      <c r="E498" s="19" t="s">
        <v>2159</v>
      </c>
      <c r="F498" s="14" t="s">
        <v>2158</v>
      </c>
      <c r="G498" s="18" t="s">
        <v>714</v>
      </c>
      <c r="H498" s="17">
        <v>1</v>
      </c>
      <c r="I498" s="16"/>
      <c r="J498" s="15">
        <f>ROUND(I498*H498,2)</f>
        <v>0</v>
      </c>
      <c r="K498" s="14" t="s">
        <v>7</v>
      </c>
      <c r="L498" s="3"/>
      <c r="M498" s="24" t="s">
        <v>6</v>
      </c>
      <c r="N498" s="23" t="s">
        <v>5</v>
      </c>
      <c r="P498" s="22">
        <f>O498*H498</f>
        <v>0</v>
      </c>
      <c r="Q498" s="22">
        <v>0</v>
      </c>
      <c r="R498" s="22">
        <f>Q498*H498</f>
        <v>0</v>
      </c>
      <c r="S498" s="22">
        <v>0</v>
      </c>
      <c r="T498" s="21">
        <f>S498*H498</f>
        <v>0</v>
      </c>
      <c r="AR498" s="6" t="s">
        <v>328</v>
      </c>
      <c r="AT498" s="6" t="s">
        <v>4</v>
      </c>
      <c r="AU498" s="6" t="s">
        <v>365</v>
      </c>
      <c r="AY498" s="7" t="s">
        <v>3</v>
      </c>
      <c r="BE498" s="8">
        <f>IF(N498="základní",J498,0)</f>
        <v>0</v>
      </c>
      <c r="BF498" s="8">
        <f>IF(N498="snížená",J498,0)</f>
        <v>0</v>
      </c>
      <c r="BG498" s="8">
        <f>IF(N498="zákl. přenesená",J498,0)</f>
        <v>0</v>
      </c>
      <c r="BH498" s="8">
        <f>IF(N498="sníž. přenesená",J498,0)</f>
        <v>0</v>
      </c>
      <c r="BI498" s="8">
        <f>IF(N498="nulová",J498,0)</f>
        <v>0</v>
      </c>
      <c r="BJ498" s="7" t="s">
        <v>2</v>
      </c>
      <c r="BK498" s="8">
        <f>ROUND(I498*H498,2)</f>
        <v>0</v>
      </c>
      <c r="BL498" s="7" t="s">
        <v>328</v>
      </c>
      <c r="BM498" s="6" t="s">
        <v>2157</v>
      </c>
    </row>
    <row r="499" spans="2:65" s="269" customFormat="1">
      <c r="B499" s="273"/>
      <c r="D499" s="96" t="s">
        <v>704</v>
      </c>
      <c r="E499" s="270" t="s">
        <v>6</v>
      </c>
      <c r="F499" s="275" t="s">
        <v>2104</v>
      </c>
      <c r="H499" s="270" t="s">
        <v>6</v>
      </c>
      <c r="I499" s="274"/>
      <c r="L499" s="273"/>
      <c r="M499" s="272"/>
      <c r="T499" s="271"/>
      <c r="AT499" s="270" t="s">
        <v>704</v>
      </c>
      <c r="AU499" s="270" t="s">
        <v>365</v>
      </c>
      <c r="AV499" s="269" t="s">
        <v>2</v>
      </c>
      <c r="AW499" s="269" t="s">
        <v>703</v>
      </c>
      <c r="AX499" s="269" t="s">
        <v>25</v>
      </c>
      <c r="AY499" s="270" t="s">
        <v>3</v>
      </c>
    </row>
    <row r="500" spans="2:65" s="108" customFormat="1">
      <c r="B500" s="112"/>
      <c r="D500" s="96" t="s">
        <v>704</v>
      </c>
      <c r="E500" s="109" t="s">
        <v>6</v>
      </c>
      <c r="F500" s="115" t="s">
        <v>2</v>
      </c>
      <c r="H500" s="114">
        <v>1</v>
      </c>
      <c r="I500" s="113"/>
      <c r="L500" s="112"/>
      <c r="M500" s="111"/>
      <c r="T500" s="110"/>
      <c r="AT500" s="109" t="s">
        <v>704</v>
      </c>
      <c r="AU500" s="109" t="s">
        <v>365</v>
      </c>
      <c r="AV500" s="108" t="s">
        <v>365</v>
      </c>
      <c r="AW500" s="108" t="s">
        <v>703</v>
      </c>
      <c r="AX500" s="108" t="s">
        <v>2</v>
      </c>
      <c r="AY500" s="109" t="s">
        <v>3</v>
      </c>
    </row>
    <row r="501" spans="2:65" s="2" customFormat="1" ht="232.15" customHeight="1">
      <c r="B501" s="3"/>
      <c r="C501" s="125" t="s">
        <v>688</v>
      </c>
      <c r="D501" s="125" t="s">
        <v>750</v>
      </c>
      <c r="E501" s="124" t="s">
        <v>2156</v>
      </c>
      <c r="F501" s="119" t="s">
        <v>2155</v>
      </c>
      <c r="G501" s="123" t="s">
        <v>2154</v>
      </c>
      <c r="H501" s="122">
        <v>1</v>
      </c>
      <c r="I501" s="121"/>
      <c r="J501" s="120">
        <f>ROUND(I501*H501,2)</f>
        <v>0</v>
      </c>
      <c r="K501" s="119" t="s">
        <v>7</v>
      </c>
      <c r="L501" s="118"/>
      <c r="M501" s="117" t="s">
        <v>6</v>
      </c>
      <c r="N501" s="116" t="s">
        <v>5</v>
      </c>
      <c r="P501" s="22">
        <f>O501*H501</f>
        <v>0</v>
      </c>
      <c r="Q501" s="22">
        <v>8.5699999999999998E-2</v>
      </c>
      <c r="R501" s="22">
        <f>Q501*H501</f>
        <v>8.5699999999999998E-2</v>
      </c>
      <c r="S501" s="22">
        <v>0</v>
      </c>
      <c r="T501" s="21">
        <f>S501*H501</f>
        <v>0</v>
      </c>
      <c r="AR501" s="6" t="s">
        <v>283</v>
      </c>
      <c r="AT501" s="6" t="s">
        <v>750</v>
      </c>
      <c r="AU501" s="6" t="s">
        <v>365</v>
      </c>
      <c r="AY501" s="7" t="s">
        <v>3</v>
      </c>
      <c r="BE501" s="8">
        <f>IF(N501="základní",J501,0)</f>
        <v>0</v>
      </c>
      <c r="BF501" s="8">
        <f>IF(N501="snížená",J501,0)</f>
        <v>0</v>
      </c>
      <c r="BG501" s="8">
        <f>IF(N501="zákl. přenesená",J501,0)</f>
        <v>0</v>
      </c>
      <c r="BH501" s="8">
        <f>IF(N501="sníž. přenesená",J501,0)</f>
        <v>0</v>
      </c>
      <c r="BI501" s="8">
        <f>IF(N501="nulová",J501,0)</f>
        <v>0</v>
      </c>
      <c r="BJ501" s="7" t="s">
        <v>2</v>
      </c>
      <c r="BK501" s="8">
        <f>ROUND(I501*H501,2)</f>
        <v>0</v>
      </c>
      <c r="BL501" s="7" t="s">
        <v>328</v>
      </c>
      <c r="BM501" s="6" t="s">
        <v>2153</v>
      </c>
    </row>
    <row r="502" spans="2:65" s="2" customFormat="1" ht="24.2" customHeight="1">
      <c r="B502" s="3"/>
      <c r="C502" s="125" t="s">
        <v>122</v>
      </c>
      <c r="D502" s="125" t="s">
        <v>750</v>
      </c>
      <c r="E502" s="124" t="s">
        <v>2152</v>
      </c>
      <c r="F502" s="119" t="s">
        <v>2151</v>
      </c>
      <c r="G502" s="123" t="s">
        <v>714</v>
      </c>
      <c r="H502" s="122">
        <v>1</v>
      </c>
      <c r="I502" s="121"/>
      <c r="J502" s="120">
        <f>ROUND(I502*H502,2)</f>
        <v>0</v>
      </c>
      <c r="K502" s="119" t="s">
        <v>7</v>
      </c>
      <c r="L502" s="118"/>
      <c r="M502" s="117" t="s">
        <v>6</v>
      </c>
      <c r="N502" s="116" t="s">
        <v>5</v>
      </c>
      <c r="P502" s="22">
        <f>O502*H502</f>
        <v>0</v>
      </c>
      <c r="Q502" s="22">
        <v>5.0000000000000001E-4</v>
      </c>
      <c r="R502" s="22">
        <f>Q502*H502</f>
        <v>5.0000000000000001E-4</v>
      </c>
      <c r="S502" s="22">
        <v>0</v>
      </c>
      <c r="T502" s="21">
        <f>S502*H502</f>
        <v>0</v>
      </c>
      <c r="AR502" s="6" t="s">
        <v>283</v>
      </c>
      <c r="AT502" s="6" t="s">
        <v>750</v>
      </c>
      <c r="AU502" s="6" t="s">
        <v>365</v>
      </c>
      <c r="AY502" s="7" t="s">
        <v>3</v>
      </c>
      <c r="BE502" s="8">
        <f>IF(N502="základní",J502,0)</f>
        <v>0</v>
      </c>
      <c r="BF502" s="8">
        <f>IF(N502="snížená",J502,0)</f>
        <v>0</v>
      </c>
      <c r="BG502" s="8">
        <f>IF(N502="zákl. přenesená",J502,0)</f>
        <v>0</v>
      </c>
      <c r="BH502" s="8">
        <f>IF(N502="sníž. přenesená",J502,0)</f>
        <v>0</v>
      </c>
      <c r="BI502" s="8">
        <f>IF(N502="nulová",J502,0)</f>
        <v>0</v>
      </c>
      <c r="BJ502" s="7" t="s">
        <v>2</v>
      </c>
      <c r="BK502" s="8">
        <f>ROUND(I502*H502,2)</f>
        <v>0</v>
      </c>
      <c r="BL502" s="7" t="s">
        <v>328</v>
      </c>
      <c r="BM502" s="6" t="s">
        <v>2150</v>
      </c>
    </row>
    <row r="503" spans="2:65" s="2" customFormat="1" ht="90" customHeight="1">
      <c r="B503" s="3"/>
      <c r="C503" s="125" t="s">
        <v>679</v>
      </c>
      <c r="D503" s="125" t="s">
        <v>750</v>
      </c>
      <c r="E503" s="124" t="s">
        <v>2149</v>
      </c>
      <c r="F503" s="119" t="s">
        <v>2148</v>
      </c>
      <c r="G503" s="123" t="s">
        <v>714</v>
      </c>
      <c r="H503" s="122">
        <v>1</v>
      </c>
      <c r="I503" s="121"/>
      <c r="J503" s="120">
        <f>ROUND(I503*H503,2)</f>
        <v>0</v>
      </c>
      <c r="K503" s="119" t="s">
        <v>7</v>
      </c>
      <c r="L503" s="118"/>
      <c r="M503" s="117" t="s">
        <v>6</v>
      </c>
      <c r="N503" s="116" t="s">
        <v>5</v>
      </c>
      <c r="P503" s="22">
        <f>O503*H503</f>
        <v>0</v>
      </c>
      <c r="Q503" s="22">
        <v>5.0000000000000001E-3</v>
      </c>
      <c r="R503" s="22">
        <f>Q503*H503</f>
        <v>5.0000000000000001E-3</v>
      </c>
      <c r="S503" s="22">
        <v>0</v>
      </c>
      <c r="T503" s="21">
        <f>S503*H503</f>
        <v>0</v>
      </c>
      <c r="AR503" s="6" t="s">
        <v>283</v>
      </c>
      <c r="AT503" s="6" t="s">
        <v>750</v>
      </c>
      <c r="AU503" s="6" t="s">
        <v>365</v>
      </c>
      <c r="AY503" s="7" t="s">
        <v>3</v>
      </c>
      <c r="BE503" s="8">
        <f>IF(N503="základní",J503,0)</f>
        <v>0</v>
      </c>
      <c r="BF503" s="8">
        <f>IF(N503="snížená",J503,0)</f>
        <v>0</v>
      </c>
      <c r="BG503" s="8">
        <f>IF(N503="zákl. přenesená",J503,0)</f>
        <v>0</v>
      </c>
      <c r="BH503" s="8">
        <f>IF(N503="sníž. přenesená",J503,0)</f>
        <v>0</v>
      </c>
      <c r="BI503" s="8">
        <f>IF(N503="nulová",J503,0)</f>
        <v>0</v>
      </c>
      <c r="BJ503" s="7" t="s">
        <v>2</v>
      </c>
      <c r="BK503" s="8">
        <f>ROUND(I503*H503,2)</f>
        <v>0</v>
      </c>
      <c r="BL503" s="7" t="s">
        <v>328</v>
      </c>
      <c r="BM503" s="6" t="s">
        <v>2147</v>
      </c>
    </row>
    <row r="504" spans="2:65" s="2" customFormat="1" ht="24.2" customHeight="1">
      <c r="B504" s="3"/>
      <c r="C504" s="20" t="s">
        <v>118</v>
      </c>
      <c r="D504" s="20" t="s">
        <v>4</v>
      </c>
      <c r="E504" s="19" t="s">
        <v>2146</v>
      </c>
      <c r="F504" s="14" t="s">
        <v>2145</v>
      </c>
      <c r="G504" s="18" t="s">
        <v>722</v>
      </c>
      <c r="H504" s="17">
        <v>1</v>
      </c>
      <c r="I504" s="16"/>
      <c r="J504" s="15">
        <f>ROUND(I504*H504,2)</f>
        <v>0</v>
      </c>
      <c r="K504" s="14" t="s">
        <v>7</v>
      </c>
      <c r="L504" s="3"/>
      <c r="M504" s="24" t="s">
        <v>6</v>
      </c>
      <c r="N504" s="23" t="s">
        <v>5</v>
      </c>
      <c r="P504" s="22">
        <f>O504*H504</f>
        <v>0</v>
      </c>
      <c r="Q504" s="22">
        <v>0</v>
      </c>
      <c r="R504" s="22">
        <f>Q504*H504</f>
        <v>0</v>
      </c>
      <c r="S504" s="22">
        <v>0</v>
      </c>
      <c r="T504" s="21">
        <f>S504*H504</f>
        <v>0</v>
      </c>
      <c r="AR504" s="6" t="s">
        <v>328</v>
      </c>
      <c r="AT504" s="6" t="s">
        <v>4</v>
      </c>
      <c r="AU504" s="6" t="s">
        <v>365</v>
      </c>
      <c r="AY504" s="7" t="s">
        <v>3</v>
      </c>
      <c r="BE504" s="8">
        <f>IF(N504="základní",J504,0)</f>
        <v>0</v>
      </c>
      <c r="BF504" s="8">
        <f>IF(N504="snížená",J504,0)</f>
        <v>0</v>
      </c>
      <c r="BG504" s="8">
        <f>IF(N504="zákl. přenesená",J504,0)</f>
        <v>0</v>
      </c>
      <c r="BH504" s="8">
        <f>IF(N504="sníž. přenesená",J504,0)</f>
        <v>0</v>
      </c>
      <c r="BI504" s="8">
        <f>IF(N504="nulová",J504,0)</f>
        <v>0</v>
      </c>
      <c r="BJ504" s="7" t="s">
        <v>2</v>
      </c>
      <c r="BK504" s="8">
        <f>ROUND(I504*H504,2)</f>
        <v>0</v>
      </c>
      <c r="BL504" s="7" t="s">
        <v>328</v>
      </c>
      <c r="BM504" s="6" t="s">
        <v>2144</v>
      </c>
    </row>
    <row r="505" spans="2:65" s="269" customFormat="1">
      <c r="B505" s="273"/>
      <c r="D505" s="96" t="s">
        <v>704</v>
      </c>
      <c r="E505" s="270" t="s">
        <v>6</v>
      </c>
      <c r="F505" s="275" t="s">
        <v>2104</v>
      </c>
      <c r="H505" s="270" t="s">
        <v>6</v>
      </c>
      <c r="I505" s="274"/>
      <c r="L505" s="273"/>
      <c r="M505" s="272"/>
      <c r="T505" s="271"/>
      <c r="AT505" s="270" t="s">
        <v>704</v>
      </c>
      <c r="AU505" s="270" t="s">
        <v>365</v>
      </c>
      <c r="AV505" s="269" t="s">
        <v>2</v>
      </c>
      <c r="AW505" s="269" t="s">
        <v>703</v>
      </c>
      <c r="AX505" s="269" t="s">
        <v>25</v>
      </c>
      <c r="AY505" s="270" t="s">
        <v>3</v>
      </c>
    </row>
    <row r="506" spans="2:65" s="108" customFormat="1">
      <c r="B506" s="112"/>
      <c r="D506" s="96" t="s">
        <v>704</v>
      </c>
      <c r="E506" s="109" t="s">
        <v>6</v>
      </c>
      <c r="F506" s="115" t="s">
        <v>2</v>
      </c>
      <c r="H506" s="114">
        <v>1</v>
      </c>
      <c r="I506" s="113"/>
      <c r="L506" s="112"/>
      <c r="M506" s="111"/>
      <c r="T506" s="110"/>
      <c r="AT506" s="109" t="s">
        <v>704</v>
      </c>
      <c r="AU506" s="109" t="s">
        <v>365</v>
      </c>
      <c r="AV506" s="108" t="s">
        <v>365</v>
      </c>
      <c r="AW506" s="108" t="s">
        <v>703</v>
      </c>
      <c r="AX506" s="108" t="s">
        <v>2</v>
      </c>
      <c r="AY506" s="109" t="s">
        <v>3</v>
      </c>
    </row>
    <row r="507" spans="2:65" s="2" customFormat="1" ht="37.9" customHeight="1">
      <c r="B507" s="3"/>
      <c r="C507" s="20" t="s">
        <v>670</v>
      </c>
      <c r="D507" s="20" t="s">
        <v>4</v>
      </c>
      <c r="E507" s="19" t="s">
        <v>2143</v>
      </c>
      <c r="F507" s="14" t="s">
        <v>2142</v>
      </c>
      <c r="G507" s="18" t="s">
        <v>21</v>
      </c>
      <c r="H507" s="17">
        <v>23</v>
      </c>
      <c r="I507" s="16"/>
      <c r="J507" s="15">
        <f>ROUND(I507*H507,2)</f>
        <v>0</v>
      </c>
      <c r="K507" s="14" t="s">
        <v>7</v>
      </c>
      <c r="L507" s="3"/>
      <c r="M507" s="24" t="s">
        <v>6</v>
      </c>
      <c r="N507" s="23" t="s">
        <v>5</v>
      </c>
      <c r="P507" s="22">
        <f>O507*H507</f>
        <v>0</v>
      </c>
      <c r="Q507" s="22">
        <v>2.9999999999999997E-4</v>
      </c>
      <c r="R507" s="22">
        <f>Q507*H507</f>
        <v>6.899999999999999E-3</v>
      </c>
      <c r="S507" s="22">
        <v>0</v>
      </c>
      <c r="T507" s="21">
        <f>S507*H507</f>
        <v>0</v>
      </c>
      <c r="AR507" s="6" t="s">
        <v>328</v>
      </c>
      <c r="AT507" s="6" t="s">
        <v>4</v>
      </c>
      <c r="AU507" s="6" t="s">
        <v>365</v>
      </c>
      <c r="AY507" s="7" t="s">
        <v>3</v>
      </c>
      <c r="BE507" s="8">
        <f>IF(N507="základní",J507,0)</f>
        <v>0</v>
      </c>
      <c r="BF507" s="8">
        <f>IF(N507="snížená",J507,0)</f>
        <v>0</v>
      </c>
      <c r="BG507" s="8">
        <f>IF(N507="zákl. přenesená",J507,0)</f>
        <v>0</v>
      </c>
      <c r="BH507" s="8">
        <f>IF(N507="sníž. přenesená",J507,0)</f>
        <v>0</v>
      </c>
      <c r="BI507" s="8">
        <f>IF(N507="nulová",J507,0)</f>
        <v>0</v>
      </c>
      <c r="BJ507" s="7" t="s">
        <v>2</v>
      </c>
      <c r="BK507" s="8">
        <f>ROUND(I507*H507,2)</f>
        <v>0</v>
      </c>
      <c r="BL507" s="7" t="s">
        <v>328</v>
      </c>
      <c r="BM507" s="6" t="s">
        <v>2141</v>
      </c>
    </row>
    <row r="508" spans="2:65" s="2" customFormat="1" ht="19.5">
      <c r="B508" s="3"/>
      <c r="D508" s="96" t="s">
        <v>442</v>
      </c>
      <c r="F508" s="95" t="s">
        <v>2140</v>
      </c>
      <c r="I508" s="94"/>
      <c r="L508" s="3"/>
      <c r="M508" s="100"/>
      <c r="T508" s="99"/>
      <c r="AT508" s="7" t="s">
        <v>442</v>
      </c>
      <c r="AU508" s="7" t="s">
        <v>365</v>
      </c>
    </row>
    <row r="509" spans="2:65" s="269" customFormat="1">
      <c r="B509" s="273"/>
      <c r="D509" s="96" t="s">
        <v>704</v>
      </c>
      <c r="E509" s="270" t="s">
        <v>6</v>
      </c>
      <c r="F509" s="275" t="s">
        <v>2104</v>
      </c>
      <c r="H509" s="270" t="s">
        <v>6</v>
      </c>
      <c r="I509" s="274"/>
      <c r="L509" s="273"/>
      <c r="M509" s="272"/>
      <c r="T509" s="271"/>
      <c r="AT509" s="270" t="s">
        <v>704</v>
      </c>
      <c r="AU509" s="270" t="s">
        <v>365</v>
      </c>
      <c r="AV509" s="269" t="s">
        <v>2</v>
      </c>
      <c r="AW509" s="269" t="s">
        <v>703</v>
      </c>
      <c r="AX509" s="269" t="s">
        <v>25</v>
      </c>
      <c r="AY509" s="270" t="s">
        <v>3</v>
      </c>
    </row>
    <row r="510" spans="2:65" s="108" customFormat="1">
      <c r="B510" s="112"/>
      <c r="D510" s="96" t="s">
        <v>704</v>
      </c>
      <c r="E510" s="109" t="s">
        <v>6</v>
      </c>
      <c r="F510" s="115" t="s">
        <v>305</v>
      </c>
      <c r="H510" s="114">
        <v>23</v>
      </c>
      <c r="I510" s="113"/>
      <c r="L510" s="112"/>
      <c r="M510" s="111"/>
      <c r="T510" s="110"/>
      <c r="AT510" s="109" t="s">
        <v>704</v>
      </c>
      <c r="AU510" s="109" t="s">
        <v>365</v>
      </c>
      <c r="AV510" s="108" t="s">
        <v>365</v>
      </c>
      <c r="AW510" s="108" t="s">
        <v>703</v>
      </c>
      <c r="AX510" s="108" t="s">
        <v>2</v>
      </c>
      <c r="AY510" s="109" t="s">
        <v>3</v>
      </c>
    </row>
    <row r="511" spans="2:65" s="2" customFormat="1" ht="37.9" customHeight="1">
      <c r="B511" s="3"/>
      <c r="C511" s="125" t="s">
        <v>112</v>
      </c>
      <c r="D511" s="125" t="s">
        <v>750</v>
      </c>
      <c r="E511" s="124" t="s">
        <v>2139</v>
      </c>
      <c r="F511" s="119" t="s">
        <v>2138</v>
      </c>
      <c r="G511" s="123" t="s">
        <v>21</v>
      </c>
      <c r="H511" s="122">
        <v>23</v>
      </c>
      <c r="I511" s="121"/>
      <c r="J511" s="120">
        <f>ROUND(I511*H511,2)</f>
        <v>0</v>
      </c>
      <c r="K511" s="119" t="s">
        <v>7</v>
      </c>
      <c r="L511" s="118"/>
      <c r="M511" s="117" t="s">
        <v>6</v>
      </c>
      <c r="N511" s="116" t="s">
        <v>5</v>
      </c>
      <c r="P511" s="22">
        <f>O511*H511</f>
        <v>0</v>
      </c>
      <c r="Q511" s="22">
        <v>2.9999999999999997E-4</v>
      </c>
      <c r="R511" s="22">
        <f>Q511*H511</f>
        <v>6.899999999999999E-3</v>
      </c>
      <c r="S511" s="22">
        <v>0</v>
      </c>
      <c r="T511" s="21">
        <f>S511*H511</f>
        <v>0</v>
      </c>
      <c r="AR511" s="6" t="s">
        <v>283</v>
      </c>
      <c r="AT511" s="6" t="s">
        <v>750</v>
      </c>
      <c r="AU511" s="6" t="s">
        <v>365</v>
      </c>
      <c r="AY511" s="7" t="s">
        <v>3</v>
      </c>
      <c r="BE511" s="8">
        <f>IF(N511="základní",J511,0)</f>
        <v>0</v>
      </c>
      <c r="BF511" s="8">
        <f>IF(N511="snížená",J511,0)</f>
        <v>0</v>
      </c>
      <c r="BG511" s="8">
        <f>IF(N511="zákl. přenesená",J511,0)</f>
        <v>0</v>
      </c>
      <c r="BH511" s="8">
        <f>IF(N511="sníž. přenesená",J511,0)</f>
        <v>0</v>
      </c>
      <c r="BI511" s="8">
        <f>IF(N511="nulová",J511,0)</f>
        <v>0</v>
      </c>
      <c r="BJ511" s="7" t="s">
        <v>2</v>
      </c>
      <c r="BK511" s="8">
        <f>ROUND(I511*H511,2)</f>
        <v>0</v>
      </c>
      <c r="BL511" s="7" t="s">
        <v>328</v>
      </c>
      <c r="BM511" s="6" t="s">
        <v>2137</v>
      </c>
    </row>
    <row r="512" spans="2:65" s="2" customFormat="1" ht="37.9" customHeight="1">
      <c r="B512" s="3"/>
      <c r="C512" s="20" t="s">
        <v>661</v>
      </c>
      <c r="D512" s="20" t="s">
        <v>4</v>
      </c>
      <c r="E512" s="19" t="s">
        <v>2136</v>
      </c>
      <c r="F512" s="14" t="s">
        <v>2135</v>
      </c>
      <c r="G512" s="18" t="s">
        <v>21</v>
      </c>
      <c r="H512" s="17">
        <v>23</v>
      </c>
      <c r="I512" s="16"/>
      <c r="J512" s="15">
        <f>ROUND(I512*H512,2)</f>
        <v>0</v>
      </c>
      <c r="K512" s="14" t="s">
        <v>7</v>
      </c>
      <c r="L512" s="3"/>
      <c r="M512" s="24" t="s">
        <v>6</v>
      </c>
      <c r="N512" s="23" t="s">
        <v>5</v>
      </c>
      <c r="P512" s="22">
        <f>O512*H512</f>
        <v>0</v>
      </c>
      <c r="Q512" s="22">
        <v>4.0000000000000002E-4</v>
      </c>
      <c r="R512" s="22">
        <f>Q512*H512</f>
        <v>9.1999999999999998E-3</v>
      </c>
      <c r="S512" s="22">
        <v>0</v>
      </c>
      <c r="T512" s="21">
        <f>S512*H512</f>
        <v>0</v>
      </c>
      <c r="AR512" s="6" t="s">
        <v>328</v>
      </c>
      <c r="AT512" s="6" t="s">
        <v>4</v>
      </c>
      <c r="AU512" s="6" t="s">
        <v>365</v>
      </c>
      <c r="AY512" s="7" t="s">
        <v>3</v>
      </c>
      <c r="BE512" s="8">
        <f>IF(N512="základní",J512,0)</f>
        <v>0</v>
      </c>
      <c r="BF512" s="8">
        <f>IF(N512="snížená",J512,0)</f>
        <v>0</v>
      </c>
      <c r="BG512" s="8">
        <f>IF(N512="zákl. přenesená",J512,0)</f>
        <v>0</v>
      </c>
      <c r="BH512" s="8">
        <f>IF(N512="sníž. přenesená",J512,0)</f>
        <v>0</v>
      </c>
      <c r="BI512" s="8">
        <f>IF(N512="nulová",J512,0)</f>
        <v>0</v>
      </c>
      <c r="BJ512" s="7" t="s">
        <v>2</v>
      </c>
      <c r="BK512" s="8">
        <f>ROUND(I512*H512,2)</f>
        <v>0</v>
      </c>
      <c r="BL512" s="7" t="s">
        <v>328</v>
      </c>
      <c r="BM512" s="6" t="s">
        <v>2134</v>
      </c>
    </row>
    <row r="513" spans="2:65" s="269" customFormat="1">
      <c r="B513" s="273"/>
      <c r="D513" s="96" t="s">
        <v>704</v>
      </c>
      <c r="E513" s="270" t="s">
        <v>6</v>
      </c>
      <c r="F513" s="275" t="s">
        <v>2104</v>
      </c>
      <c r="H513" s="270" t="s">
        <v>6</v>
      </c>
      <c r="I513" s="274"/>
      <c r="L513" s="273"/>
      <c r="M513" s="272"/>
      <c r="T513" s="271"/>
      <c r="AT513" s="270" t="s">
        <v>704</v>
      </c>
      <c r="AU513" s="270" t="s">
        <v>365</v>
      </c>
      <c r="AV513" s="269" t="s">
        <v>2</v>
      </c>
      <c r="AW513" s="269" t="s">
        <v>703</v>
      </c>
      <c r="AX513" s="269" t="s">
        <v>25</v>
      </c>
      <c r="AY513" s="270" t="s">
        <v>3</v>
      </c>
    </row>
    <row r="514" spans="2:65" s="108" customFormat="1">
      <c r="B514" s="112"/>
      <c r="D514" s="96" t="s">
        <v>704</v>
      </c>
      <c r="E514" s="109" t="s">
        <v>6</v>
      </c>
      <c r="F514" s="115" t="s">
        <v>305</v>
      </c>
      <c r="H514" s="114">
        <v>23</v>
      </c>
      <c r="I514" s="113"/>
      <c r="L514" s="112"/>
      <c r="M514" s="111"/>
      <c r="T514" s="110"/>
      <c r="AT514" s="109" t="s">
        <v>704</v>
      </c>
      <c r="AU514" s="109" t="s">
        <v>365</v>
      </c>
      <c r="AV514" s="108" t="s">
        <v>365</v>
      </c>
      <c r="AW514" s="108" t="s">
        <v>703</v>
      </c>
      <c r="AX514" s="108" t="s">
        <v>2</v>
      </c>
      <c r="AY514" s="109" t="s">
        <v>3</v>
      </c>
    </row>
    <row r="515" spans="2:65" s="2" customFormat="1" ht="37.9" customHeight="1">
      <c r="B515" s="3"/>
      <c r="C515" s="125" t="s">
        <v>106</v>
      </c>
      <c r="D515" s="125" t="s">
        <v>750</v>
      </c>
      <c r="E515" s="124" t="s">
        <v>2133</v>
      </c>
      <c r="F515" s="119" t="s">
        <v>2132</v>
      </c>
      <c r="G515" s="123" t="s">
        <v>21</v>
      </c>
      <c r="H515" s="122">
        <v>23</v>
      </c>
      <c r="I515" s="121"/>
      <c r="J515" s="120">
        <f>ROUND(I515*H515,2)</f>
        <v>0</v>
      </c>
      <c r="K515" s="119" t="s">
        <v>7</v>
      </c>
      <c r="L515" s="118"/>
      <c r="M515" s="117" t="s">
        <v>6</v>
      </c>
      <c r="N515" s="116" t="s">
        <v>5</v>
      </c>
      <c r="P515" s="22">
        <f>O515*H515</f>
        <v>0</v>
      </c>
      <c r="Q515" s="22">
        <v>4.4999999999999999E-4</v>
      </c>
      <c r="R515" s="22">
        <f>Q515*H515</f>
        <v>1.035E-2</v>
      </c>
      <c r="S515" s="22">
        <v>0</v>
      </c>
      <c r="T515" s="21">
        <f>S515*H515</f>
        <v>0</v>
      </c>
      <c r="AR515" s="6" t="s">
        <v>283</v>
      </c>
      <c r="AT515" s="6" t="s">
        <v>750</v>
      </c>
      <c r="AU515" s="6" t="s">
        <v>365</v>
      </c>
      <c r="AY515" s="7" t="s">
        <v>3</v>
      </c>
      <c r="BE515" s="8">
        <f>IF(N515="základní",J515,0)</f>
        <v>0</v>
      </c>
      <c r="BF515" s="8">
        <f>IF(N515="snížená",J515,0)</f>
        <v>0</v>
      </c>
      <c r="BG515" s="8">
        <f>IF(N515="zákl. přenesená",J515,0)</f>
        <v>0</v>
      </c>
      <c r="BH515" s="8">
        <f>IF(N515="sníž. přenesená",J515,0)</f>
        <v>0</v>
      </c>
      <c r="BI515" s="8">
        <f>IF(N515="nulová",J515,0)</f>
        <v>0</v>
      </c>
      <c r="BJ515" s="7" t="s">
        <v>2</v>
      </c>
      <c r="BK515" s="8">
        <f>ROUND(I515*H515,2)</f>
        <v>0</v>
      </c>
      <c r="BL515" s="7" t="s">
        <v>328</v>
      </c>
      <c r="BM515" s="6" t="s">
        <v>2131</v>
      </c>
    </row>
    <row r="516" spans="2:65" s="2" customFormat="1" ht="16.5" customHeight="1">
      <c r="B516" s="3"/>
      <c r="C516" s="20" t="s">
        <v>1293</v>
      </c>
      <c r="D516" s="20" t="s">
        <v>4</v>
      </c>
      <c r="E516" s="19" t="s">
        <v>2130</v>
      </c>
      <c r="F516" s="14" t="s">
        <v>2129</v>
      </c>
      <c r="G516" s="18" t="s">
        <v>722</v>
      </c>
      <c r="H516" s="17">
        <v>2</v>
      </c>
      <c r="I516" s="16"/>
      <c r="J516" s="15">
        <f>ROUND(I516*H516,2)</f>
        <v>0</v>
      </c>
      <c r="K516" s="14" t="s">
        <v>7</v>
      </c>
      <c r="L516" s="3"/>
      <c r="M516" s="24" t="s">
        <v>6</v>
      </c>
      <c r="N516" s="23" t="s">
        <v>5</v>
      </c>
      <c r="P516" s="22">
        <f>O516*H516</f>
        <v>0</v>
      </c>
      <c r="Q516" s="22">
        <v>0</v>
      </c>
      <c r="R516" s="22">
        <f>Q516*H516</f>
        <v>0</v>
      </c>
      <c r="S516" s="22">
        <v>0</v>
      </c>
      <c r="T516" s="21">
        <f>S516*H516</f>
        <v>0</v>
      </c>
      <c r="AR516" s="6" t="s">
        <v>328</v>
      </c>
      <c r="AT516" s="6" t="s">
        <v>4</v>
      </c>
      <c r="AU516" s="6" t="s">
        <v>365</v>
      </c>
      <c r="AY516" s="7" t="s">
        <v>3</v>
      </c>
      <c r="BE516" s="8">
        <f>IF(N516="základní",J516,0)</f>
        <v>0</v>
      </c>
      <c r="BF516" s="8">
        <f>IF(N516="snížená",J516,0)</f>
        <v>0</v>
      </c>
      <c r="BG516" s="8">
        <f>IF(N516="zákl. přenesená",J516,0)</f>
        <v>0</v>
      </c>
      <c r="BH516" s="8">
        <f>IF(N516="sníž. přenesená",J516,0)</f>
        <v>0</v>
      </c>
      <c r="BI516" s="8">
        <f>IF(N516="nulová",J516,0)</f>
        <v>0</v>
      </c>
      <c r="BJ516" s="7" t="s">
        <v>2</v>
      </c>
      <c r="BK516" s="8">
        <f>ROUND(I516*H516,2)</f>
        <v>0</v>
      </c>
      <c r="BL516" s="7" t="s">
        <v>328</v>
      </c>
      <c r="BM516" s="6" t="s">
        <v>2128</v>
      </c>
    </row>
    <row r="517" spans="2:65" s="269" customFormat="1">
      <c r="B517" s="273"/>
      <c r="D517" s="96" t="s">
        <v>704</v>
      </c>
      <c r="E517" s="270" t="s">
        <v>6</v>
      </c>
      <c r="F517" s="275" t="s">
        <v>2104</v>
      </c>
      <c r="H517" s="270" t="s">
        <v>6</v>
      </c>
      <c r="I517" s="274"/>
      <c r="L517" s="273"/>
      <c r="M517" s="272"/>
      <c r="T517" s="271"/>
      <c r="AT517" s="270" t="s">
        <v>704</v>
      </c>
      <c r="AU517" s="270" t="s">
        <v>365</v>
      </c>
      <c r="AV517" s="269" t="s">
        <v>2</v>
      </c>
      <c r="AW517" s="269" t="s">
        <v>703</v>
      </c>
      <c r="AX517" s="269" t="s">
        <v>25</v>
      </c>
      <c r="AY517" s="270" t="s">
        <v>3</v>
      </c>
    </row>
    <row r="518" spans="2:65" s="108" customFormat="1">
      <c r="B518" s="112"/>
      <c r="D518" s="96" t="s">
        <v>704</v>
      </c>
      <c r="E518" s="109" t="s">
        <v>6</v>
      </c>
      <c r="F518" s="115" t="s">
        <v>365</v>
      </c>
      <c r="H518" s="114">
        <v>2</v>
      </c>
      <c r="I518" s="113"/>
      <c r="L518" s="112"/>
      <c r="M518" s="111"/>
      <c r="T518" s="110"/>
      <c r="AT518" s="109" t="s">
        <v>704</v>
      </c>
      <c r="AU518" s="109" t="s">
        <v>365</v>
      </c>
      <c r="AV518" s="108" t="s">
        <v>365</v>
      </c>
      <c r="AW518" s="108" t="s">
        <v>703</v>
      </c>
      <c r="AX518" s="108" t="s">
        <v>2</v>
      </c>
      <c r="AY518" s="109" t="s">
        <v>3</v>
      </c>
    </row>
    <row r="519" spans="2:65" s="2" customFormat="1" ht="16.5" customHeight="1">
      <c r="B519" s="3"/>
      <c r="C519" s="20" t="s">
        <v>102</v>
      </c>
      <c r="D519" s="20" t="s">
        <v>4</v>
      </c>
      <c r="E519" s="19" t="s">
        <v>2127</v>
      </c>
      <c r="F519" s="14" t="s">
        <v>2126</v>
      </c>
      <c r="G519" s="18" t="s">
        <v>722</v>
      </c>
      <c r="H519" s="17">
        <v>2</v>
      </c>
      <c r="I519" s="16"/>
      <c r="J519" s="15">
        <f>ROUND(I519*H519,2)</f>
        <v>0</v>
      </c>
      <c r="K519" s="14" t="s">
        <v>7</v>
      </c>
      <c r="L519" s="3"/>
      <c r="M519" s="24" t="s">
        <v>6</v>
      </c>
      <c r="N519" s="23" t="s">
        <v>5</v>
      </c>
      <c r="P519" s="22">
        <f>O519*H519</f>
        <v>0</v>
      </c>
      <c r="Q519" s="22">
        <v>0</v>
      </c>
      <c r="R519" s="22">
        <f>Q519*H519</f>
        <v>0</v>
      </c>
      <c r="S519" s="22">
        <v>0</v>
      </c>
      <c r="T519" s="21">
        <f>S519*H519</f>
        <v>0</v>
      </c>
      <c r="AR519" s="6" t="s">
        <v>328</v>
      </c>
      <c r="AT519" s="6" t="s">
        <v>4</v>
      </c>
      <c r="AU519" s="6" t="s">
        <v>365</v>
      </c>
      <c r="AY519" s="7" t="s">
        <v>3</v>
      </c>
      <c r="BE519" s="8">
        <f>IF(N519="základní",J519,0)</f>
        <v>0</v>
      </c>
      <c r="BF519" s="8">
        <f>IF(N519="snížená",J519,0)</f>
        <v>0</v>
      </c>
      <c r="BG519" s="8">
        <f>IF(N519="zákl. přenesená",J519,0)</f>
        <v>0</v>
      </c>
      <c r="BH519" s="8">
        <f>IF(N519="sníž. přenesená",J519,0)</f>
        <v>0</v>
      </c>
      <c r="BI519" s="8">
        <f>IF(N519="nulová",J519,0)</f>
        <v>0</v>
      </c>
      <c r="BJ519" s="7" t="s">
        <v>2</v>
      </c>
      <c r="BK519" s="8">
        <f>ROUND(I519*H519,2)</f>
        <v>0</v>
      </c>
      <c r="BL519" s="7" t="s">
        <v>328</v>
      </c>
      <c r="BM519" s="6" t="s">
        <v>2125</v>
      </c>
    </row>
    <row r="520" spans="2:65" s="269" customFormat="1">
      <c r="B520" s="273"/>
      <c r="D520" s="96" t="s">
        <v>704</v>
      </c>
      <c r="E520" s="270" t="s">
        <v>6</v>
      </c>
      <c r="F520" s="275" t="s">
        <v>2104</v>
      </c>
      <c r="H520" s="270" t="s">
        <v>6</v>
      </c>
      <c r="I520" s="274"/>
      <c r="L520" s="273"/>
      <c r="M520" s="272"/>
      <c r="T520" s="271"/>
      <c r="AT520" s="270" t="s">
        <v>704</v>
      </c>
      <c r="AU520" s="270" t="s">
        <v>365</v>
      </c>
      <c r="AV520" s="269" t="s">
        <v>2</v>
      </c>
      <c r="AW520" s="269" t="s">
        <v>703</v>
      </c>
      <c r="AX520" s="269" t="s">
        <v>25</v>
      </c>
      <c r="AY520" s="270" t="s">
        <v>3</v>
      </c>
    </row>
    <row r="521" spans="2:65" s="108" customFormat="1">
      <c r="B521" s="112"/>
      <c r="D521" s="96" t="s">
        <v>704</v>
      </c>
      <c r="E521" s="109" t="s">
        <v>6</v>
      </c>
      <c r="F521" s="115" t="s">
        <v>365</v>
      </c>
      <c r="H521" s="114">
        <v>2</v>
      </c>
      <c r="I521" s="113"/>
      <c r="L521" s="112"/>
      <c r="M521" s="111"/>
      <c r="T521" s="110"/>
      <c r="AT521" s="109" t="s">
        <v>704</v>
      </c>
      <c r="AU521" s="109" t="s">
        <v>365</v>
      </c>
      <c r="AV521" s="108" t="s">
        <v>365</v>
      </c>
      <c r="AW521" s="108" t="s">
        <v>703</v>
      </c>
      <c r="AX521" s="108" t="s">
        <v>2</v>
      </c>
      <c r="AY521" s="109" t="s">
        <v>3</v>
      </c>
    </row>
    <row r="522" spans="2:65" s="2" customFormat="1" ht="16.5" customHeight="1">
      <c r="B522" s="3"/>
      <c r="C522" s="20" t="s">
        <v>1292</v>
      </c>
      <c r="D522" s="20" t="s">
        <v>4</v>
      </c>
      <c r="E522" s="19" t="s">
        <v>2124</v>
      </c>
      <c r="F522" s="14" t="s">
        <v>2123</v>
      </c>
      <c r="G522" s="18" t="s">
        <v>21</v>
      </c>
      <c r="H522" s="17">
        <v>15</v>
      </c>
      <c r="I522" s="16"/>
      <c r="J522" s="15">
        <f>ROUND(I522*H522,2)</f>
        <v>0</v>
      </c>
      <c r="K522" s="14" t="s">
        <v>7</v>
      </c>
      <c r="L522" s="3"/>
      <c r="M522" s="24" t="s">
        <v>6</v>
      </c>
      <c r="N522" s="23" t="s">
        <v>5</v>
      </c>
      <c r="P522" s="22">
        <f>O522*H522</f>
        <v>0</v>
      </c>
      <c r="Q522" s="22">
        <v>5.0000000000000001E-4</v>
      </c>
      <c r="R522" s="22">
        <f>Q522*H522</f>
        <v>7.4999999999999997E-3</v>
      </c>
      <c r="S522" s="22">
        <v>0</v>
      </c>
      <c r="T522" s="21">
        <f>S522*H522</f>
        <v>0</v>
      </c>
      <c r="AR522" s="6" t="s">
        <v>328</v>
      </c>
      <c r="AT522" s="6" t="s">
        <v>4</v>
      </c>
      <c r="AU522" s="6" t="s">
        <v>365</v>
      </c>
      <c r="AY522" s="7" t="s">
        <v>3</v>
      </c>
      <c r="BE522" s="8">
        <f>IF(N522="základní",J522,0)</f>
        <v>0</v>
      </c>
      <c r="BF522" s="8">
        <f>IF(N522="snížená",J522,0)</f>
        <v>0</v>
      </c>
      <c r="BG522" s="8">
        <f>IF(N522="zákl. přenesená",J522,0)</f>
        <v>0</v>
      </c>
      <c r="BH522" s="8">
        <f>IF(N522="sníž. přenesená",J522,0)</f>
        <v>0</v>
      </c>
      <c r="BI522" s="8">
        <f>IF(N522="nulová",J522,0)</f>
        <v>0</v>
      </c>
      <c r="BJ522" s="7" t="s">
        <v>2</v>
      </c>
      <c r="BK522" s="8">
        <f>ROUND(I522*H522,2)</f>
        <v>0</v>
      </c>
      <c r="BL522" s="7" t="s">
        <v>328</v>
      </c>
      <c r="BM522" s="6" t="s">
        <v>2122</v>
      </c>
    </row>
    <row r="523" spans="2:65" s="269" customFormat="1">
      <c r="B523" s="273"/>
      <c r="D523" s="96" t="s">
        <v>704</v>
      </c>
      <c r="E523" s="270" t="s">
        <v>6</v>
      </c>
      <c r="F523" s="275" t="s">
        <v>2104</v>
      </c>
      <c r="H523" s="270" t="s">
        <v>6</v>
      </c>
      <c r="I523" s="274"/>
      <c r="L523" s="273"/>
      <c r="M523" s="272"/>
      <c r="T523" s="271"/>
      <c r="AT523" s="270" t="s">
        <v>704</v>
      </c>
      <c r="AU523" s="270" t="s">
        <v>365</v>
      </c>
      <c r="AV523" s="269" t="s">
        <v>2</v>
      </c>
      <c r="AW523" s="269" t="s">
        <v>703</v>
      </c>
      <c r="AX523" s="269" t="s">
        <v>25</v>
      </c>
      <c r="AY523" s="270" t="s">
        <v>3</v>
      </c>
    </row>
    <row r="524" spans="2:65" s="108" customFormat="1">
      <c r="B524" s="112"/>
      <c r="D524" s="96" t="s">
        <v>704</v>
      </c>
      <c r="E524" s="109" t="s">
        <v>6</v>
      </c>
      <c r="F524" s="115" t="s">
        <v>2121</v>
      </c>
      <c r="H524" s="114">
        <v>15</v>
      </c>
      <c r="I524" s="113"/>
      <c r="L524" s="112"/>
      <c r="M524" s="111"/>
      <c r="T524" s="110"/>
      <c r="AT524" s="109" t="s">
        <v>704</v>
      </c>
      <c r="AU524" s="109" t="s">
        <v>365</v>
      </c>
      <c r="AV524" s="108" t="s">
        <v>365</v>
      </c>
      <c r="AW524" s="108" t="s">
        <v>703</v>
      </c>
      <c r="AX524" s="108" t="s">
        <v>2</v>
      </c>
      <c r="AY524" s="109" t="s">
        <v>3</v>
      </c>
    </row>
    <row r="525" spans="2:65" s="2" customFormat="1" ht="33" customHeight="1">
      <c r="B525" s="3"/>
      <c r="C525" s="20" t="s">
        <v>98</v>
      </c>
      <c r="D525" s="20" t="s">
        <v>4</v>
      </c>
      <c r="E525" s="19" t="s">
        <v>2120</v>
      </c>
      <c r="F525" s="14" t="s">
        <v>2119</v>
      </c>
      <c r="G525" s="18" t="s">
        <v>21</v>
      </c>
      <c r="H525" s="17">
        <v>23</v>
      </c>
      <c r="I525" s="16"/>
      <c r="J525" s="15">
        <f>ROUND(I525*H525,2)</f>
        <v>0</v>
      </c>
      <c r="K525" s="14" t="s">
        <v>7</v>
      </c>
      <c r="L525" s="3"/>
      <c r="M525" s="24" t="s">
        <v>6</v>
      </c>
      <c r="N525" s="23" t="s">
        <v>5</v>
      </c>
      <c r="P525" s="22">
        <f>O525*H525</f>
        <v>0</v>
      </c>
      <c r="Q525" s="22">
        <v>4.0000000000000003E-5</v>
      </c>
      <c r="R525" s="22">
        <f>Q525*H525</f>
        <v>9.2000000000000003E-4</v>
      </c>
      <c r="S525" s="22">
        <v>0</v>
      </c>
      <c r="T525" s="21">
        <f>S525*H525</f>
        <v>0</v>
      </c>
      <c r="AR525" s="6" t="s">
        <v>328</v>
      </c>
      <c r="AT525" s="6" t="s">
        <v>4</v>
      </c>
      <c r="AU525" s="6" t="s">
        <v>365</v>
      </c>
      <c r="AY525" s="7" t="s">
        <v>3</v>
      </c>
      <c r="BE525" s="8">
        <f>IF(N525="základní",J525,0)</f>
        <v>0</v>
      </c>
      <c r="BF525" s="8">
        <f>IF(N525="snížená",J525,0)</f>
        <v>0</v>
      </c>
      <c r="BG525" s="8">
        <f>IF(N525="zákl. přenesená",J525,0)</f>
        <v>0</v>
      </c>
      <c r="BH525" s="8">
        <f>IF(N525="sníž. přenesená",J525,0)</f>
        <v>0</v>
      </c>
      <c r="BI525" s="8">
        <f>IF(N525="nulová",J525,0)</f>
        <v>0</v>
      </c>
      <c r="BJ525" s="7" t="s">
        <v>2</v>
      </c>
      <c r="BK525" s="8">
        <f>ROUND(I525*H525,2)</f>
        <v>0</v>
      </c>
      <c r="BL525" s="7" t="s">
        <v>328</v>
      </c>
      <c r="BM525" s="6" t="s">
        <v>2118</v>
      </c>
    </row>
    <row r="526" spans="2:65" s="269" customFormat="1">
      <c r="B526" s="273"/>
      <c r="D526" s="96" t="s">
        <v>704</v>
      </c>
      <c r="E526" s="270" t="s">
        <v>6</v>
      </c>
      <c r="F526" s="275" t="s">
        <v>2104</v>
      </c>
      <c r="H526" s="270" t="s">
        <v>6</v>
      </c>
      <c r="I526" s="274"/>
      <c r="L526" s="273"/>
      <c r="M526" s="272"/>
      <c r="T526" s="271"/>
      <c r="AT526" s="270" t="s">
        <v>704</v>
      </c>
      <c r="AU526" s="270" t="s">
        <v>365</v>
      </c>
      <c r="AV526" s="269" t="s">
        <v>2</v>
      </c>
      <c r="AW526" s="269" t="s">
        <v>703</v>
      </c>
      <c r="AX526" s="269" t="s">
        <v>25</v>
      </c>
      <c r="AY526" s="270" t="s">
        <v>3</v>
      </c>
    </row>
    <row r="527" spans="2:65" s="108" customFormat="1">
      <c r="B527" s="112"/>
      <c r="D527" s="96" t="s">
        <v>704</v>
      </c>
      <c r="E527" s="109" t="s">
        <v>6</v>
      </c>
      <c r="F527" s="115" t="s">
        <v>2111</v>
      </c>
      <c r="H527" s="114">
        <v>23</v>
      </c>
      <c r="I527" s="113"/>
      <c r="L527" s="112"/>
      <c r="M527" s="111"/>
      <c r="T527" s="110"/>
      <c r="AT527" s="109" t="s">
        <v>704</v>
      </c>
      <c r="AU527" s="109" t="s">
        <v>365</v>
      </c>
      <c r="AV527" s="108" t="s">
        <v>365</v>
      </c>
      <c r="AW527" s="108" t="s">
        <v>703</v>
      </c>
      <c r="AX527" s="108" t="s">
        <v>2</v>
      </c>
      <c r="AY527" s="109" t="s">
        <v>3</v>
      </c>
    </row>
    <row r="528" spans="2:65" s="2" customFormat="1" ht="55.5" customHeight="1">
      <c r="B528" s="3"/>
      <c r="C528" s="125" t="s">
        <v>1291</v>
      </c>
      <c r="D528" s="125" t="s">
        <v>750</v>
      </c>
      <c r="E528" s="124" t="s">
        <v>2117</v>
      </c>
      <c r="F528" s="119" t="s">
        <v>2116</v>
      </c>
      <c r="G528" s="123" t="s">
        <v>21</v>
      </c>
      <c r="H528" s="122">
        <v>23</v>
      </c>
      <c r="I528" s="121"/>
      <c r="J528" s="120">
        <f>ROUND(I528*H528,2)</f>
        <v>0</v>
      </c>
      <c r="K528" s="119" t="s">
        <v>7</v>
      </c>
      <c r="L528" s="118"/>
      <c r="M528" s="117" t="s">
        <v>6</v>
      </c>
      <c r="N528" s="116" t="s">
        <v>5</v>
      </c>
      <c r="P528" s="22">
        <f>O528*H528</f>
        <v>0</v>
      </c>
      <c r="Q528" s="22">
        <v>2.9999999999999997E-4</v>
      </c>
      <c r="R528" s="22">
        <f>Q528*H528</f>
        <v>6.899999999999999E-3</v>
      </c>
      <c r="S528" s="22">
        <v>0</v>
      </c>
      <c r="T528" s="21">
        <f>S528*H528</f>
        <v>0</v>
      </c>
      <c r="AR528" s="6" t="s">
        <v>283</v>
      </c>
      <c r="AT528" s="6" t="s">
        <v>750</v>
      </c>
      <c r="AU528" s="6" t="s">
        <v>365</v>
      </c>
      <c r="AY528" s="7" t="s">
        <v>3</v>
      </c>
      <c r="BE528" s="8">
        <f>IF(N528="základní",J528,0)</f>
        <v>0</v>
      </c>
      <c r="BF528" s="8">
        <f>IF(N528="snížená",J528,0)</f>
        <v>0</v>
      </c>
      <c r="BG528" s="8">
        <f>IF(N528="zákl. přenesená",J528,0)</f>
        <v>0</v>
      </c>
      <c r="BH528" s="8">
        <f>IF(N528="sníž. přenesená",J528,0)</f>
        <v>0</v>
      </c>
      <c r="BI528" s="8">
        <f>IF(N528="nulová",J528,0)</f>
        <v>0</v>
      </c>
      <c r="BJ528" s="7" t="s">
        <v>2</v>
      </c>
      <c r="BK528" s="8">
        <f>ROUND(I528*H528,2)</f>
        <v>0</v>
      </c>
      <c r="BL528" s="7" t="s">
        <v>328</v>
      </c>
      <c r="BM528" s="6" t="s">
        <v>2115</v>
      </c>
    </row>
    <row r="529" spans="2:65" s="2" customFormat="1" ht="33" customHeight="1">
      <c r="B529" s="3"/>
      <c r="C529" s="20" t="s">
        <v>94</v>
      </c>
      <c r="D529" s="20" t="s">
        <v>4</v>
      </c>
      <c r="E529" s="19" t="s">
        <v>2114</v>
      </c>
      <c r="F529" s="14" t="s">
        <v>2113</v>
      </c>
      <c r="G529" s="18" t="s">
        <v>21</v>
      </c>
      <c r="H529" s="17">
        <v>23</v>
      </c>
      <c r="I529" s="16"/>
      <c r="J529" s="15">
        <f>ROUND(I529*H529,2)</f>
        <v>0</v>
      </c>
      <c r="K529" s="14" t="s">
        <v>7</v>
      </c>
      <c r="L529" s="3"/>
      <c r="M529" s="24" t="s">
        <v>6</v>
      </c>
      <c r="N529" s="23" t="s">
        <v>5</v>
      </c>
      <c r="P529" s="22">
        <f>O529*H529</f>
        <v>0</v>
      </c>
      <c r="Q529" s="22">
        <v>5.0000000000000002E-5</v>
      </c>
      <c r="R529" s="22">
        <f>Q529*H529</f>
        <v>1.15E-3</v>
      </c>
      <c r="S529" s="22">
        <v>0</v>
      </c>
      <c r="T529" s="21">
        <f>S529*H529</f>
        <v>0</v>
      </c>
      <c r="AR529" s="6" t="s">
        <v>328</v>
      </c>
      <c r="AT529" s="6" t="s">
        <v>4</v>
      </c>
      <c r="AU529" s="6" t="s">
        <v>365</v>
      </c>
      <c r="AY529" s="7" t="s">
        <v>3</v>
      </c>
      <c r="BE529" s="8">
        <f>IF(N529="základní",J529,0)</f>
        <v>0</v>
      </c>
      <c r="BF529" s="8">
        <f>IF(N529="snížená",J529,0)</f>
        <v>0</v>
      </c>
      <c r="BG529" s="8">
        <f>IF(N529="zákl. přenesená",J529,0)</f>
        <v>0</v>
      </c>
      <c r="BH529" s="8">
        <f>IF(N529="sníž. přenesená",J529,0)</f>
        <v>0</v>
      </c>
      <c r="BI529" s="8">
        <f>IF(N529="nulová",J529,0)</f>
        <v>0</v>
      </c>
      <c r="BJ529" s="7" t="s">
        <v>2</v>
      </c>
      <c r="BK529" s="8">
        <f>ROUND(I529*H529,2)</f>
        <v>0</v>
      </c>
      <c r="BL529" s="7" t="s">
        <v>328</v>
      </c>
      <c r="BM529" s="6" t="s">
        <v>2112</v>
      </c>
    </row>
    <row r="530" spans="2:65" s="269" customFormat="1">
      <c r="B530" s="273"/>
      <c r="D530" s="96" t="s">
        <v>704</v>
      </c>
      <c r="E530" s="270" t="s">
        <v>6</v>
      </c>
      <c r="F530" s="275" t="s">
        <v>2104</v>
      </c>
      <c r="H530" s="270" t="s">
        <v>6</v>
      </c>
      <c r="I530" s="274"/>
      <c r="L530" s="273"/>
      <c r="M530" s="272"/>
      <c r="T530" s="271"/>
      <c r="AT530" s="270" t="s">
        <v>704</v>
      </c>
      <c r="AU530" s="270" t="s">
        <v>365</v>
      </c>
      <c r="AV530" s="269" t="s">
        <v>2</v>
      </c>
      <c r="AW530" s="269" t="s">
        <v>703</v>
      </c>
      <c r="AX530" s="269" t="s">
        <v>25</v>
      </c>
      <c r="AY530" s="270" t="s">
        <v>3</v>
      </c>
    </row>
    <row r="531" spans="2:65" s="108" customFormat="1">
      <c r="B531" s="112"/>
      <c r="D531" s="96" t="s">
        <v>704</v>
      </c>
      <c r="E531" s="109" t="s">
        <v>6</v>
      </c>
      <c r="F531" s="115" t="s">
        <v>2111</v>
      </c>
      <c r="H531" s="114">
        <v>23</v>
      </c>
      <c r="I531" s="113"/>
      <c r="L531" s="112"/>
      <c r="M531" s="111"/>
      <c r="T531" s="110"/>
      <c r="AT531" s="109" t="s">
        <v>704</v>
      </c>
      <c r="AU531" s="109" t="s">
        <v>365</v>
      </c>
      <c r="AV531" s="108" t="s">
        <v>365</v>
      </c>
      <c r="AW531" s="108" t="s">
        <v>703</v>
      </c>
      <c r="AX531" s="108" t="s">
        <v>2</v>
      </c>
      <c r="AY531" s="109" t="s">
        <v>3</v>
      </c>
    </row>
    <row r="532" spans="2:65" s="2" customFormat="1" ht="55.5" customHeight="1">
      <c r="B532" s="3"/>
      <c r="C532" s="125" t="s">
        <v>1290</v>
      </c>
      <c r="D532" s="125" t="s">
        <v>750</v>
      </c>
      <c r="E532" s="124" t="s">
        <v>2110</v>
      </c>
      <c r="F532" s="119" t="s">
        <v>2109</v>
      </c>
      <c r="G532" s="123" t="s">
        <v>21</v>
      </c>
      <c r="H532" s="122">
        <v>23</v>
      </c>
      <c r="I532" s="121"/>
      <c r="J532" s="120">
        <f>ROUND(I532*H532,2)</f>
        <v>0</v>
      </c>
      <c r="K532" s="119" t="s">
        <v>7</v>
      </c>
      <c r="L532" s="118"/>
      <c r="M532" s="117" t="s">
        <v>6</v>
      </c>
      <c r="N532" s="116" t="s">
        <v>5</v>
      </c>
      <c r="P532" s="22">
        <f>O532*H532</f>
        <v>0</v>
      </c>
      <c r="Q532" s="22">
        <v>5.0000000000000001E-4</v>
      </c>
      <c r="R532" s="22">
        <f>Q532*H532</f>
        <v>1.15E-2</v>
      </c>
      <c r="S532" s="22">
        <v>0</v>
      </c>
      <c r="T532" s="21">
        <f>S532*H532</f>
        <v>0</v>
      </c>
      <c r="AR532" s="6" t="s">
        <v>283</v>
      </c>
      <c r="AT532" s="6" t="s">
        <v>750</v>
      </c>
      <c r="AU532" s="6" t="s">
        <v>365</v>
      </c>
      <c r="AY532" s="7" t="s">
        <v>3</v>
      </c>
      <c r="BE532" s="8">
        <f>IF(N532="základní",J532,0)</f>
        <v>0</v>
      </c>
      <c r="BF532" s="8">
        <f>IF(N532="snížená",J532,0)</f>
        <v>0</v>
      </c>
      <c r="BG532" s="8">
        <f>IF(N532="zákl. přenesená",J532,0)</f>
        <v>0</v>
      </c>
      <c r="BH532" s="8">
        <f>IF(N532="sníž. přenesená",J532,0)</f>
        <v>0</v>
      </c>
      <c r="BI532" s="8">
        <f>IF(N532="nulová",J532,0)</f>
        <v>0</v>
      </c>
      <c r="BJ532" s="7" t="s">
        <v>2</v>
      </c>
      <c r="BK532" s="8">
        <f>ROUND(I532*H532,2)</f>
        <v>0</v>
      </c>
      <c r="BL532" s="7" t="s">
        <v>328</v>
      </c>
      <c r="BM532" s="6" t="s">
        <v>2108</v>
      </c>
    </row>
    <row r="533" spans="2:65" s="2" customFormat="1" ht="16.5" customHeight="1">
      <c r="B533" s="3"/>
      <c r="C533" s="20" t="s">
        <v>90</v>
      </c>
      <c r="D533" s="20" t="s">
        <v>4</v>
      </c>
      <c r="E533" s="19" t="s">
        <v>2107</v>
      </c>
      <c r="F533" s="14" t="s">
        <v>2106</v>
      </c>
      <c r="G533" s="18" t="s">
        <v>714</v>
      </c>
      <c r="H533" s="17">
        <v>1</v>
      </c>
      <c r="I533" s="16"/>
      <c r="J533" s="15">
        <f>ROUND(I533*H533,2)</f>
        <v>0</v>
      </c>
      <c r="K533" s="14" t="s">
        <v>7</v>
      </c>
      <c r="L533" s="3"/>
      <c r="M533" s="24" t="s">
        <v>6</v>
      </c>
      <c r="N533" s="23" t="s">
        <v>5</v>
      </c>
      <c r="P533" s="22">
        <f>O533*H533</f>
        <v>0</v>
      </c>
      <c r="Q533" s="22">
        <v>2.9999999999999997E-4</v>
      </c>
      <c r="R533" s="22">
        <f>Q533*H533</f>
        <v>2.9999999999999997E-4</v>
      </c>
      <c r="S533" s="22">
        <v>0</v>
      </c>
      <c r="T533" s="21">
        <f>S533*H533</f>
        <v>0</v>
      </c>
      <c r="AR533" s="6" t="s">
        <v>328</v>
      </c>
      <c r="AT533" s="6" t="s">
        <v>4</v>
      </c>
      <c r="AU533" s="6" t="s">
        <v>365</v>
      </c>
      <c r="AY533" s="7" t="s">
        <v>3</v>
      </c>
      <c r="BE533" s="8">
        <f>IF(N533="základní",J533,0)</f>
        <v>0</v>
      </c>
      <c r="BF533" s="8">
        <f>IF(N533="snížená",J533,0)</f>
        <v>0</v>
      </c>
      <c r="BG533" s="8">
        <f>IF(N533="zákl. přenesená",J533,0)</f>
        <v>0</v>
      </c>
      <c r="BH533" s="8">
        <f>IF(N533="sníž. přenesená",J533,0)</f>
        <v>0</v>
      </c>
      <c r="BI533" s="8">
        <f>IF(N533="nulová",J533,0)</f>
        <v>0</v>
      </c>
      <c r="BJ533" s="7" t="s">
        <v>2</v>
      </c>
      <c r="BK533" s="8">
        <f>ROUND(I533*H533,2)</f>
        <v>0</v>
      </c>
      <c r="BL533" s="7" t="s">
        <v>328</v>
      </c>
      <c r="BM533" s="6" t="s">
        <v>2105</v>
      </c>
    </row>
    <row r="534" spans="2:65" s="269" customFormat="1">
      <c r="B534" s="273"/>
      <c r="D534" s="96" t="s">
        <v>704</v>
      </c>
      <c r="E534" s="270" t="s">
        <v>6</v>
      </c>
      <c r="F534" s="275" t="s">
        <v>2104</v>
      </c>
      <c r="H534" s="270" t="s">
        <v>6</v>
      </c>
      <c r="I534" s="274"/>
      <c r="L534" s="273"/>
      <c r="M534" s="272"/>
      <c r="T534" s="271"/>
      <c r="AT534" s="270" t="s">
        <v>704</v>
      </c>
      <c r="AU534" s="270" t="s">
        <v>365</v>
      </c>
      <c r="AV534" s="269" t="s">
        <v>2</v>
      </c>
      <c r="AW534" s="269" t="s">
        <v>703</v>
      </c>
      <c r="AX534" s="269" t="s">
        <v>25</v>
      </c>
      <c r="AY534" s="270" t="s">
        <v>3</v>
      </c>
    </row>
    <row r="535" spans="2:65" s="108" customFormat="1">
      <c r="B535" s="112"/>
      <c r="D535" s="96" t="s">
        <v>704</v>
      </c>
      <c r="E535" s="109" t="s">
        <v>6</v>
      </c>
      <c r="F535" s="115" t="s">
        <v>2</v>
      </c>
      <c r="H535" s="114">
        <v>1</v>
      </c>
      <c r="I535" s="113"/>
      <c r="L535" s="112"/>
      <c r="M535" s="111"/>
      <c r="T535" s="110"/>
      <c r="AT535" s="109" t="s">
        <v>704</v>
      </c>
      <c r="AU535" s="109" t="s">
        <v>365</v>
      </c>
      <c r="AV535" s="108" t="s">
        <v>365</v>
      </c>
      <c r="AW535" s="108" t="s">
        <v>703</v>
      </c>
      <c r="AX535" s="108" t="s">
        <v>2</v>
      </c>
      <c r="AY535" s="109" t="s">
        <v>3</v>
      </c>
    </row>
    <row r="536" spans="2:65" s="2" customFormat="1" ht="16.5" customHeight="1">
      <c r="B536" s="3"/>
      <c r="C536" s="20" t="s">
        <v>1289</v>
      </c>
      <c r="D536" s="20" t="s">
        <v>4</v>
      </c>
      <c r="E536" s="19" t="s">
        <v>2103</v>
      </c>
      <c r="F536" s="14" t="s">
        <v>2102</v>
      </c>
      <c r="G536" s="18" t="s">
        <v>714</v>
      </c>
      <c r="H536" s="17">
        <v>1</v>
      </c>
      <c r="I536" s="16"/>
      <c r="J536" s="15">
        <f>ROUND(I536*H536,2)</f>
        <v>0</v>
      </c>
      <c r="K536" s="14" t="s">
        <v>7</v>
      </c>
      <c r="L536" s="3"/>
      <c r="M536" s="24" t="s">
        <v>6</v>
      </c>
      <c r="N536" s="23" t="s">
        <v>5</v>
      </c>
      <c r="P536" s="22">
        <f>O536*H536</f>
        <v>0</v>
      </c>
      <c r="Q536" s="22">
        <v>0</v>
      </c>
      <c r="R536" s="22">
        <f>Q536*H536</f>
        <v>0</v>
      </c>
      <c r="S536" s="22">
        <v>0</v>
      </c>
      <c r="T536" s="21">
        <f>S536*H536</f>
        <v>0</v>
      </c>
      <c r="AR536" s="6" t="s">
        <v>328</v>
      </c>
      <c r="AT536" s="6" t="s">
        <v>4</v>
      </c>
      <c r="AU536" s="6" t="s">
        <v>365</v>
      </c>
      <c r="AY536" s="7" t="s">
        <v>3</v>
      </c>
      <c r="BE536" s="8">
        <f>IF(N536="základní",J536,0)</f>
        <v>0</v>
      </c>
      <c r="BF536" s="8">
        <f>IF(N536="snížená",J536,0)</f>
        <v>0</v>
      </c>
      <c r="BG536" s="8">
        <f>IF(N536="zákl. přenesená",J536,0)</f>
        <v>0</v>
      </c>
      <c r="BH536" s="8">
        <f>IF(N536="sníž. přenesená",J536,0)</f>
        <v>0</v>
      </c>
      <c r="BI536" s="8">
        <f>IF(N536="nulová",J536,0)</f>
        <v>0</v>
      </c>
      <c r="BJ536" s="7" t="s">
        <v>2</v>
      </c>
      <c r="BK536" s="8">
        <f>ROUND(I536*H536,2)</f>
        <v>0</v>
      </c>
      <c r="BL536" s="7" t="s">
        <v>328</v>
      </c>
      <c r="BM536" s="6" t="s">
        <v>2101</v>
      </c>
    </row>
    <row r="537" spans="2:65" s="2" customFormat="1" ht="16.5" customHeight="1">
      <c r="B537" s="3"/>
      <c r="C537" s="20" t="s">
        <v>86</v>
      </c>
      <c r="D537" s="20" t="s">
        <v>4</v>
      </c>
      <c r="E537" s="19" t="s">
        <v>2100</v>
      </c>
      <c r="F537" s="14" t="s">
        <v>2099</v>
      </c>
      <c r="G537" s="18" t="s">
        <v>714</v>
      </c>
      <c r="H537" s="17">
        <v>1</v>
      </c>
      <c r="I537" s="16"/>
      <c r="J537" s="15">
        <f>ROUND(I537*H537,2)</f>
        <v>0</v>
      </c>
      <c r="K537" s="14" t="s">
        <v>7</v>
      </c>
      <c r="L537" s="3"/>
      <c r="M537" s="24" t="s">
        <v>6</v>
      </c>
      <c r="N537" s="23" t="s">
        <v>5</v>
      </c>
      <c r="P537" s="22">
        <f>O537*H537</f>
        <v>0</v>
      </c>
      <c r="Q537" s="22">
        <v>0</v>
      </c>
      <c r="R537" s="22">
        <f>Q537*H537</f>
        <v>0</v>
      </c>
      <c r="S537" s="22">
        <v>0</v>
      </c>
      <c r="T537" s="21">
        <f>S537*H537</f>
        <v>0</v>
      </c>
      <c r="AR537" s="6" t="s">
        <v>328</v>
      </c>
      <c r="AT537" s="6" t="s">
        <v>4</v>
      </c>
      <c r="AU537" s="6" t="s">
        <v>365</v>
      </c>
      <c r="AY537" s="7" t="s">
        <v>3</v>
      </c>
      <c r="BE537" s="8">
        <f>IF(N537="základní",J537,0)</f>
        <v>0</v>
      </c>
      <c r="BF537" s="8">
        <f>IF(N537="snížená",J537,0)</f>
        <v>0</v>
      </c>
      <c r="BG537" s="8">
        <f>IF(N537="zákl. přenesená",J537,0)</f>
        <v>0</v>
      </c>
      <c r="BH537" s="8">
        <f>IF(N537="sníž. přenesená",J537,0)</f>
        <v>0</v>
      </c>
      <c r="BI537" s="8">
        <f>IF(N537="nulová",J537,0)</f>
        <v>0</v>
      </c>
      <c r="BJ537" s="7" t="s">
        <v>2</v>
      </c>
      <c r="BK537" s="8">
        <f>ROUND(I537*H537,2)</f>
        <v>0</v>
      </c>
      <c r="BL537" s="7" t="s">
        <v>328</v>
      </c>
      <c r="BM537" s="6" t="s">
        <v>2098</v>
      </c>
    </row>
    <row r="538" spans="2:65" s="2" customFormat="1" ht="24.2" customHeight="1">
      <c r="B538" s="3"/>
      <c r="C538" s="20" t="s">
        <v>1288</v>
      </c>
      <c r="D538" s="20" t="s">
        <v>4</v>
      </c>
      <c r="E538" s="19" t="s">
        <v>2067</v>
      </c>
      <c r="F538" s="14" t="s">
        <v>2066</v>
      </c>
      <c r="G538" s="18" t="s">
        <v>735</v>
      </c>
      <c r="H538" s="17">
        <v>0.153</v>
      </c>
      <c r="I538" s="16"/>
      <c r="J538" s="15">
        <f>ROUND(I538*H538,2)</f>
        <v>0</v>
      </c>
      <c r="K538" s="14" t="s">
        <v>654</v>
      </c>
      <c r="L538" s="3"/>
      <c r="M538" s="24" t="s">
        <v>6</v>
      </c>
      <c r="N538" s="23" t="s">
        <v>5</v>
      </c>
      <c r="P538" s="22">
        <f>O538*H538</f>
        <v>0</v>
      </c>
      <c r="Q538" s="22">
        <v>0</v>
      </c>
      <c r="R538" s="22">
        <f>Q538*H538</f>
        <v>0</v>
      </c>
      <c r="S538" s="22">
        <v>0</v>
      </c>
      <c r="T538" s="21">
        <f>S538*H538</f>
        <v>0</v>
      </c>
      <c r="AR538" s="6" t="s">
        <v>328</v>
      </c>
      <c r="AT538" s="6" t="s">
        <v>4</v>
      </c>
      <c r="AU538" s="6" t="s">
        <v>365</v>
      </c>
      <c r="AY538" s="7" t="s">
        <v>3</v>
      </c>
      <c r="BE538" s="8">
        <f>IF(N538="základní",J538,0)</f>
        <v>0</v>
      </c>
      <c r="BF538" s="8">
        <f>IF(N538="snížená",J538,0)</f>
        <v>0</v>
      </c>
      <c r="BG538" s="8">
        <f>IF(N538="zákl. přenesená",J538,0)</f>
        <v>0</v>
      </c>
      <c r="BH538" s="8">
        <f>IF(N538="sníž. přenesená",J538,0)</f>
        <v>0</v>
      </c>
      <c r="BI538" s="8">
        <f>IF(N538="nulová",J538,0)</f>
        <v>0</v>
      </c>
      <c r="BJ538" s="7" t="s">
        <v>2</v>
      </c>
      <c r="BK538" s="8">
        <f>ROUND(I538*H538,2)</f>
        <v>0</v>
      </c>
      <c r="BL538" s="7" t="s">
        <v>328</v>
      </c>
      <c r="BM538" s="6" t="s">
        <v>2097</v>
      </c>
    </row>
    <row r="539" spans="2:65" s="2" customFormat="1">
      <c r="B539" s="3"/>
      <c r="D539" s="107" t="s">
        <v>651</v>
      </c>
      <c r="F539" s="106" t="s">
        <v>2064</v>
      </c>
      <c r="I539" s="94"/>
      <c r="L539" s="3"/>
      <c r="M539" s="100"/>
      <c r="T539" s="99"/>
      <c r="AT539" s="7" t="s">
        <v>651</v>
      </c>
      <c r="AU539" s="7" t="s">
        <v>365</v>
      </c>
    </row>
    <row r="540" spans="2:65" s="2" customFormat="1" ht="78">
      <c r="B540" s="3"/>
      <c r="D540" s="96" t="s">
        <v>731</v>
      </c>
      <c r="F540" s="95" t="s">
        <v>2059</v>
      </c>
      <c r="I540" s="94"/>
      <c r="L540" s="3"/>
      <c r="M540" s="100"/>
      <c r="T540" s="99"/>
      <c r="AT540" s="7" t="s">
        <v>731</v>
      </c>
      <c r="AU540" s="7" t="s">
        <v>365</v>
      </c>
    </row>
    <row r="541" spans="2:65" s="2" customFormat="1" ht="24.2" customHeight="1">
      <c r="B541" s="3"/>
      <c r="C541" s="20" t="s">
        <v>82</v>
      </c>
      <c r="D541" s="20" t="s">
        <v>4</v>
      </c>
      <c r="E541" s="19" t="s">
        <v>2063</v>
      </c>
      <c r="F541" s="14" t="s">
        <v>2062</v>
      </c>
      <c r="G541" s="18" t="s">
        <v>735</v>
      </c>
      <c r="H541" s="17">
        <v>0.153</v>
      </c>
      <c r="I541" s="16"/>
      <c r="J541" s="15">
        <f>ROUND(I541*H541,2)</f>
        <v>0</v>
      </c>
      <c r="K541" s="14" t="s">
        <v>654</v>
      </c>
      <c r="L541" s="3"/>
      <c r="M541" s="24" t="s">
        <v>6</v>
      </c>
      <c r="N541" s="23" t="s">
        <v>5</v>
      </c>
      <c r="P541" s="22">
        <f>O541*H541</f>
        <v>0</v>
      </c>
      <c r="Q541" s="22">
        <v>0</v>
      </c>
      <c r="R541" s="22">
        <f>Q541*H541</f>
        <v>0</v>
      </c>
      <c r="S541" s="22">
        <v>0</v>
      </c>
      <c r="T541" s="21">
        <f>S541*H541</f>
        <v>0</v>
      </c>
      <c r="AR541" s="6" t="s">
        <v>328</v>
      </c>
      <c r="AT541" s="6" t="s">
        <v>4</v>
      </c>
      <c r="AU541" s="6" t="s">
        <v>365</v>
      </c>
      <c r="AY541" s="7" t="s">
        <v>3</v>
      </c>
      <c r="BE541" s="8">
        <f>IF(N541="základní",J541,0)</f>
        <v>0</v>
      </c>
      <c r="BF541" s="8">
        <f>IF(N541="snížená",J541,0)</f>
        <v>0</v>
      </c>
      <c r="BG541" s="8">
        <f>IF(N541="zákl. přenesená",J541,0)</f>
        <v>0</v>
      </c>
      <c r="BH541" s="8">
        <f>IF(N541="sníž. přenesená",J541,0)</f>
        <v>0</v>
      </c>
      <c r="BI541" s="8">
        <f>IF(N541="nulová",J541,0)</f>
        <v>0</v>
      </c>
      <c r="BJ541" s="7" t="s">
        <v>2</v>
      </c>
      <c r="BK541" s="8">
        <f>ROUND(I541*H541,2)</f>
        <v>0</v>
      </c>
      <c r="BL541" s="7" t="s">
        <v>328</v>
      </c>
      <c r="BM541" s="6" t="s">
        <v>2096</v>
      </c>
    </row>
    <row r="542" spans="2:65" s="2" customFormat="1">
      <c r="B542" s="3"/>
      <c r="D542" s="107" t="s">
        <v>651</v>
      </c>
      <c r="F542" s="106" t="s">
        <v>2060</v>
      </c>
      <c r="I542" s="94"/>
      <c r="L542" s="3"/>
      <c r="M542" s="100"/>
      <c r="T542" s="99"/>
      <c r="AT542" s="7" t="s">
        <v>651</v>
      </c>
      <c r="AU542" s="7" t="s">
        <v>365</v>
      </c>
    </row>
    <row r="543" spans="2:65" s="2" customFormat="1" ht="78">
      <c r="B543" s="3"/>
      <c r="D543" s="96" t="s">
        <v>731</v>
      </c>
      <c r="F543" s="95" t="s">
        <v>2059</v>
      </c>
      <c r="I543" s="94"/>
      <c r="L543" s="3"/>
      <c r="M543" s="100"/>
      <c r="T543" s="99"/>
      <c r="AT543" s="7" t="s">
        <v>731</v>
      </c>
      <c r="AU543" s="7" t="s">
        <v>365</v>
      </c>
    </row>
    <row r="544" spans="2:65" s="25" customFormat="1" ht="22.9" customHeight="1">
      <c r="B544" s="32"/>
      <c r="D544" s="27" t="s">
        <v>26</v>
      </c>
      <c r="E544" s="98" t="s">
        <v>2095</v>
      </c>
      <c r="F544" s="98" t="s">
        <v>2094</v>
      </c>
      <c r="I544" s="34"/>
      <c r="J544" s="97">
        <f>BK544</f>
        <v>0</v>
      </c>
      <c r="L544" s="32"/>
      <c r="M544" s="31"/>
      <c r="P544" s="30">
        <f>SUM(P545:P571)</f>
        <v>0</v>
      </c>
      <c r="R544" s="30">
        <f>SUM(R545:R571)</f>
        <v>0.31096800000000002</v>
      </c>
      <c r="T544" s="29">
        <f>SUM(T545:T571)</f>
        <v>0</v>
      </c>
      <c r="AR544" s="27" t="s">
        <v>365</v>
      </c>
      <c r="AT544" s="28" t="s">
        <v>26</v>
      </c>
      <c r="AU544" s="28" t="s">
        <v>2</v>
      </c>
      <c r="AY544" s="27" t="s">
        <v>3</v>
      </c>
      <c r="BK544" s="26">
        <f>SUM(BK545:BK571)</f>
        <v>0</v>
      </c>
    </row>
    <row r="545" spans="2:65" s="2" customFormat="1" ht="24.2" customHeight="1">
      <c r="B545" s="3"/>
      <c r="C545" s="20" t="s">
        <v>1287</v>
      </c>
      <c r="D545" s="20" t="s">
        <v>4</v>
      </c>
      <c r="E545" s="19" t="s">
        <v>2089</v>
      </c>
      <c r="F545" s="14" t="s">
        <v>2088</v>
      </c>
      <c r="G545" s="18" t="s">
        <v>722</v>
      </c>
      <c r="H545" s="17">
        <v>1</v>
      </c>
      <c r="I545" s="16"/>
      <c r="J545" s="15">
        <f>ROUND(I545*H545,2)</f>
        <v>0</v>
      </c>
      <c r="K545" s="14" t="s">
        <v>654</v>
      </c>
      <c r="L545" s="3"/>
      <c r="M545" s="24" t="s">
        <v>6</v>
      </c>
      <c r="N545" s="23" t="s">
        <v>5</v>
      </c>
      <c r="P545" s="22">
        <f>O545*H545</f>
        <v>0</v>
      </c>
      <c r="Q545" s="22">
        <v>0</v>
      </c>
      <c r="R545" s="22">
        <f>Q545*H545</f>
        <v>0</v>
      </c>
      <c r="S545" s="22">
        <v>0</v>
      </c>
      <c r="T545" s="21">
        <f>S545*H545</f>
        <v>0</v>
      </c>
      <c r="AR545" s="6" t="s">
        <v>328</v>
      </c>
      <c r="AT545" s="6" t="s">
        <v>4</v>
      </c>
      <c r="AU545" s="6" t="s">
        <v>365</v>
      </c>
      <c r="AY545" s="7" t="s">
        <v>3</v>
      </c>
      <c r="BE545" s="8">
        <f>IF(N545="základní",J545,0)</f>
        <v>0</v>
      </c>
      <c r="BF545" s="8">
        <f>IF(N545="snížená",J545,0)</f>
        <v>0</v>
      </c>
      <c r="BG545" s="8">
        <f>IF(N545="zákl. přenesená",J545,0)</f>
        <v>0</v>
      </c>
      <c r="BH545" s="8">
        <f>IF(N545="sníž. přenesená",J545,0)</f>
        <v>0</v>
      </c>
      <c r="BI545" s="8">
        <f>IF(N545="nulová",J545,0)</f>
        <v>0</v>
      </c>
      <c r="BJ545" s="7" t="s">
        <v>2</v>
      </c>
      <c r="BK545" s="8">
        <f>ROUND(I545*H545,2)</f>
        <v>0</v>
      </c>
      <c r="BL545" s="7" t="s">
        <v>328</v>
      </c>
      <c r="BM545" s="6" t="s">
        <v>2093</v>
      </c>
    </row>
    <row r="546" spans="2:65" s="2" customFormat="1">
      <c r="B546" s="3"/>
      <c r="D546" s="107" t="s">
        <v>651</v>
      </c>
      <c r="F546" s="106" t="s">
        <v>2086</v>
      </c>
      <c r="I546" s="94"/>
      <c r="L546" s="3"/>
      <c r="M546" s="100"/>
      <c r="T546" s="99"/>
      <c r="AT546" s="7" t="s">
        <v>651</v>
      </c>
      <c r="AU546" s="7" t="s">
        <v>365</v>
      </c>
    </row>
    <row r="547" spans="2:65" s="269" customFormat="1">
      <c r="B547" s="273"/>
      <c r="D547" s="96" t="s">
        <v>704</v>
      </c>
      <c r="E547" s="270" t="s">
        <v>6</v>
      </c>
      <c r="F547" s="275" t="s">
        <v>2072</v>
      </c>
      <c r="H547" s="270" t="s">
        <v>6</v>
      </c>
      <c r="I547" s="274"/>
      <c r="L547" s="273"/>
      <c r="M547" s="272"/>
      <c r="T547" s="271"/>
      <c r="AT547" s="270" t="s">
        <v>704</v>
      </c>
      <c r="AU547" s="270" t="s">
        <v>365</v>
      </c>
      <c r="AV547" s="269" t="s">
        <v>2</v>
      </c>
      <c r="AW547" s="269" t="s">
        <v>703</v>
      </c>
      <c r="AX547" s="269" t="s">
        <v>25</v>
      </c>
      <c r="AY547" s="270" t="s">
        <v>3</v>
      </c>
    </row>
    <row r="548" spans="2:65" s="108" customFormat="1">
      <c r="B548" s="112"/>
      <c r="D548" s="96" t="s">
        <v>704</v>
      </c>
      <c r="E548" s="109" t="s">
        <v>6</v>
      </c>
      <c r="F548" s="115" t="s">
        <v>2</v>
      </c>
      <c r="H548" s="114">
        <v>1</v>
      </c>
      <c r="I548" s="113"/>
      <c r="L548" s="112"/>
      <c r="M548" s="111"/>
      <c r="T548" s="110"/>
      <c r="AT548" s="109" t="s">
        <v>704</v>
      </c>
      <c r="AU548" s="109" t="s">
        <v>365</v>
      </c>
      <c r="AV548" s="108" t="s">
        <v>365</v>
      </c>
      <c r="AW548" s="108" t="s">
        <v>703</v>
      </c>
      <c r="AX548" s="108" t="s">
        <v>2</v>
      </c>
      <c r="AY548" s="109" t="s">
        <v>3</v>
      </c>
    </row>
    <row r="549" spans="2:65" s="2" customFormat="1" ht="33" customHeight="1">
      <c r="B549" s="3"/>
      <c r="C549" s="125" t="s">
        <v>78</v>
      </c>
      <c r="D549" s="125" t="s">
        <v>750</v>
      </c>
      <c r="E549" s="124" t="s">
        <v>2092</v>
      </c>
      <c r="F549" s="119" t="s">
        <v>2091</v>
      </c>
      <c r="G549" s="123" t="s">
        <v>722</v>
      </c>
      <c r="H549" s="122">
        <v>1</v>
      </c>
      <c r="I549" s="121"/>
      <c r="J549" s="120">
        <f>ROUND(I549*H549,2)</f>
        <v>0</v>
      </c>
      <c r="K549" s="119" t="s">
        <v>7</v>
      </c>
      <c r="L549" s="118"/>
      <c r="M549" s="117" t="s">
        <v>6</v>
      </c>
      <c r="N549" s="116" t="s">
        <v>5</v>
      </c>
      <c r="P549" s="22">
        <f>O549*H549</f>
        <v>0</v>
      </c>
      <c r="Q549" s="22">
        <v>0.13</v>
      </c>
      <c r="R549" s="22">
        <f>Q549*H549</f>
        <v>0.13</v>
      </c>
      <c r="S549" s="22">
        <v>0</v>
      </c>
      <c r="T549" s="21">
        <f>S549*H549</f>
        <v>0</v>
      </c>
      <c r="AR549" s="6" t="s">
        <v>283</v>
      </c>
      <c r="AT549" s="6" t="s">
        <v>750</v>
      </c>
      <c r="AU549" s="6" t="s">
        <v>365</v>
      </c>
      <c r="AY549" s="7" t="s">
        <v>3</v>
      </c>
      <c r="BE549" s="8">
        <f>IF(N549="základní",J549,0)</f>
        <v>0</v>
      </c>
      <c r="BF549" s="8">
        <f>IF(N549="snížená",J549,0)</f>
        <v>0</v>
      </c>
      <c r="BG549" s="8">
        <f>IF(N549="zákl. přenesená",J549,0)</f>
        <v>0</v>
      </c>
      <c r="BH549" s="8">
        <f>IF(N549="sníž. přenesená",J549,0)</f>
        <v>0</v>
      </c>
      <c r="BI549" s="8">
        <f>IF(N549="nulová",J549,0)</f>
        <v>0</v>
      </c>
      <c r="BJ549" s="7" t="s">
        <v>2</v>
      </c>
      <c r="BK549" s="8">
        <f>ROUND(I549*H549,2)</f>
        <v>0</v>
      </c>
      <c r="BL549" s="7" t="s">
        <v>328</v>
      </c>
      <c r="BM549" s="6" t="s">
        <v>2090</v>
      </c>
    </row>
    <row r="550" spans="2:65" s="2" customFormat="1" ht="24.2" customHeight="1">
      <c r="B550" s="3"/>
      <c r="C550" s="20" t="s">
        <v>1286</v>
      </c>
      <c r="D550" s="20" t="s">
        <v>4</v>
      </c>
      <c r="E550" s="19" t="s">
        <v>2089</v>
      </c>
      <c r="F550" s="14" t="s">
        <v>2088</v>
      </c>
      <c r="G550" s="18" t="s">
        <v>722</v>
      </c>
      <c r="H550" s="17">
        <v>1</v>
      </c>
      <c r="I550" s="16"/>
      <c r="J550" s="15">
        <f>ROUND(I550*H550,2)</f>
        <v>0</v>
      </c>
      <c r="K550" s="14" t="s">
        <v>654</v>
      </c>
      <c r="L550" s="3"/>
      <c r="M550" s="24" t="s">
        <v>6</v>
      </c>
      <c r="N550" s="23" t="s">
        <v>5</v>
      </c>
      <c r="P550" s="22">
        <f>O550*H550</f>
        <v>0</v>
      </c>
      <c r="Q550" s="22">
        <v>0</v>
      </c>
      <c r="R550" s="22">
        <f>Q550*H550</f>
        <v>0</v>
      </c>
      <c r="S550" s="22">
        <v>0</v>
      </c>
      <c r="T550" s="21">
        <f>S550*H550</f>
        <v>0</v>
      </c>
      <c r="AR550" s="6" t="s">
        <v>328</v>
      </c>
      <c r="AT550" s="6" t="s">
        <v>4</v>
      </c>
      <c r="AU550" s="6" t="s">
        <v>365</v>
      </c>
      <c r="AY550" s="7" t="s">
        <v>3</v>
      </c>
      <c r="BE550" s="8">
        <f>IF(N550="základní",J550,0)</f>
        <v>0</v>
      </c>
      <c r="BF550" s="8">
        <f>IF(N550="snížená",J550,0)</f>
        <v>0</v>
      </c>
      <c r="BG550" s="8">
        <f>IF(N550="zákl. přenesená",J550,0)</f>
        <v>0</v>
      </c>
      <c r="BH550" s="8">
        <f>IF(N550="sníž. přenesená",J550,0)</f>
        <v>0</v>
      </c>
      <c r="BI550" s="8">
        <f>IF(N550="nulová",J550,0)</f>
        <v>0</v>
      </c>
      <c r="BJ550" s="7" t="s">
        <v>2</v>
      </c>
      <c r="BK550" s="8">
        <f>ROUND(I550*H550,2)</f>
        <v>0</v>
      </c>
      <c r="BL550" s="7" t="s">
        <v>328</v>
      </c>
      <c r="BM550" s="6" t="s">
        <v>2087</v>
      </c>
    </row>
    <row r="551" spans="2:65" s="2" customFormat="1">
      <c r="B551" s="3"/>
      <c r="D551" s="107" t="s">
        <v>651</v>
      </c>
      <c r="F551" s="106" t="s">
        <v>2086</v>
      </c>
      <c r="I551" s="94"/>
      <c r="L551" s="3"/>
      <c r="M551" s="100"/>
      <c r="T551" s="99"/>
      <c r="AT551" s="7" t="s">
        <v>651</v>
      </c>
      <c r="AU551" s="7" t="s">
        <v>365</v>
      </c>
    </row>
    <row r="552" spans="2:65" s="269" customFormat="1">
      <c r="B552" s="273"/>
      <c r="D552" s="96" t="s">
        <v>704</v>
      </c>
      <c r="E552" s="270" t="s">
        <v>6</v>
      </c>
      <c r="F552" s="275" t="s">
        <v>2072</v>
      </c>
      <c r="H552" s="270" t="s">
        <v>6</v>
      </c>
      <c r="I552" s="274"/>
      <c r="L552" s="273"/>
      <c r="M552" s="272"/>
      <c r="T552" s="271"/>
      <c r="AT552" s="270" t="s">
        <v>704</v>
      </c>
      <c r="AU552" s="270" t="s">
        <v>365</v>
      </c>
      <c r="AV552" s="269" t="s">
        <v>2</v>
      </c>
      <c r="AW552" s="269" t="s">
        <v>703</v>
      </c>
      <c r="AX552" s="269" t="s">
        <v>25</v>
      </c>
      <c r="AY552" s="270" t="s">
        <v>3</v>
      </c>
    </row>
    <row r="553" spans="2:65" s="108" customFormat="1">
      <c r="B553" s="112"/>
      <c r="D553" s="96" t="s">
        <v>704</v>
      </c>
      <c r="E553" s="109" t="s">
        <v>6</v>
      </c>
      <c r="F553" s="115" t="s">
        <v>2</v>
      </c>
      <c r="H553" s="114">
        <v>1</v>
      </c>
      <c r="I553" s="113"/>
      <c r="L553" s="112"/>
      <c r="M553" s="111"/>
      <c r="T553" s="110"/>
      <c r="AT553" s="109" t="s">
        <v>704</v>
      </c>
      <c r="AU553" s="109" t="s">
        <v>365</v>
      </c>
      <c r="AV553" s="108" t="s">
        <v>365</v>
      </c>
      <c r="AW553" s="108" t="s">
        <v>703</v>
      </c>
      <c r="AX553" s="108" t="s">
        <v>2</v>
      </c>
      <c r="AY553" s="109" t="s">
        <v>3</v>
      </c>
    </row>
    <row r="554" spans="2:65" s="2" customFormat="1" ht="33" customHeight="1">
      <c r="B554" s="3"/>
      <c r="C554" s="125" t="s">
        <v>74</v>
      </c>
      <c r="D554" s="125" t="s">
        <v>750</v>
      </c>
      <c r="E554" s="124" t="s">
        <v>2085</v>
      </c>
      <c r="F554" s="119" t="s">
        <v>2084</v>
      </c>
      <c r="G554" s="123" t="s">
        <v>722</v>
      </c>
      <c r="H554" s="122">
        <v>1</v>
      </c>
      <c r="I554" s="121"/>
      <c r="J554" s="120">
        <f>ROUND(I554*H554,2)</f>
        <v>0</v>
      </c>
      <c r="K554" s="119" t="s">
        <v>7</v>
      </c>
      <c r="L554" s="118"/>
      <c r="M554" s="117" t="s">
        <v>6</v>
      </c>
      <c r="N554" s="116" t="s">
        <v>5</v>
      </c>
      <c r="P554" s="22">
        <f>O554*H554</f>
        <v>0</v>
      </c>
      <c r="Q554" s="22">
        <v>0.13</v>
      </c>
      <c r="R554" s="22">
        <f>Q554*H554</f>
        <v>0.13</v>
      </c>
      <c r="S554" s="22">
        <v>0</v>
      </c>
      <c r="T554" s="21">
        <f>S554*H554</f>
        <v>0</v>
      </c>
      <c r="AR554" s="6" t="s">
        <v>283</v>
      </c>
      <c r="AT554" s="6" t="s">
        <v>750</v>
      </c>
      <c r="AU554" s="6" t="s">
        <v>365</v>
      </c>
      <c r="AY554" s="7" t="s">
        <v>3</v>
      </c>
      <c r="BE554" s="8">
        <f>IF(N554="základní",J554,0)</f>
        <v>0</v>
      </c>
      <c r="BF554" s="8">
        <f>IF(N554="snížená",J554,0)</f>
        <v>0</v>
      </c>
      <c r="BG554" s="8">
        <f>IF(N554="zákl. přenesená",J554,0)</f>
        <v>0</v>
      </c>
      <c r="BH554" s="8">
        <f>IF(N554="sníž. přenesená",J554,0)</f>
        <v>0</v>
      </c>
      <c r="BI554" s="8">
        <f>IF(N554="nulová",J554,0)</f>
        <v>0</v>
      </c>
      <c r="BJ554" s="7" t="s">
        <v>2</v>
      </c>
      <c r="BK554" s="8">
        <f>ROUND(I554*H554,2)</f>
        <v>0</v>
      </c>
      <c r="BL554" s="7" t="s">
        <v>328</v>
      </c>
      <c r="BM554" s="6" t="s">
        <v>2083</v>
      </c>
    </row>
    <row r="555" spans="2:65" s="2" customFormat="1" ht="21.75" customHeight="1">
      <c r="B555" s="3"/>
      <c r="C555" s="20" t="s">
        <v>1285</v>
      </c>
      <c r="D555" s="20" t="s">
        <v>4</v>
      </c>
      <c r="E555" s="19" t="s">
        <v>2082</v>
      </c>
      <c r="F555" s="14" t="s">
        <v>2081</v>
      </c>
      <c r="G555" s="18" t="s">
        <v>21</v>
      </c>
      <c r="H555" s="17">
        <v>4</v>
      </c>
      <c r="I555" s="16"/>
      <c r="J555" s="15">
        <f>ROUND(I555*H555,2)</f>
        <v>0</v>
      </c>
      <c r="K555" s="14" t="s">
        <v>654</v>
      </c>
      <c r="L555" s="3"/>
      <c r="M555" s="24" t="s">
        <v>6</v>
      </c>
      <c r="N555" s="23" t="s">
        <v>5</v>
      </c>
      <c r="P555" s="22">
        <f>O555*H555</f>
        <v>0</v>
      </c>
      <c r="Q555" s="22">
        <v>8.3999999999999995E-3</v>
      </c>
      <c r="R555" s="22">
        <f>Q555*H555</f>
        <v>3.3599999999999998E-2</v>
      </c>
      <c r="S555" s="22">
        <v>0</v>
      </c>
      <c r="T555" s="21">
        <f>S555*H555</f>
        <v>0</v>
      </c>
      <c r="AR555" s="6" t="s">
        <v>328</v>
      </c>
      <c r="AT555" s="6" t="s">
        <v>4</v>
      </c>
      <c r="AU555" s="6" t="s">
        <v>365</v>
      </c>
      <c r="AY555" s="7" t="s">
        <v>3</v>
      </c>
      <c r="BE555" s="8">
        <f>IF(N555="základní",J555,0)</f>
        <v>0</v>
      </c>
      <c r="BF555" s="8">
        <f>IF(N555="snížená",J555,0)</f>
        <v>0</v>
      </c>
      <c r="BG555" s="8">
        <f>IF(N555="zákl. přenesená",J555,0)</f>
        <v>0</v>
      </c>
      <c r="BH555" s="8">
        <f>IF(N555="sníž. přenesená",J555,0)</f>
        <v>0</v>
      </c>
      <c r="BI555" s="8">
        <f>IF(N555="nulová",J555,0)</f>
        <v>0</v>
      </c>
      <c r="BJ555" s="7" t="s">
        <v>2</v>
      </c>
      <c r="BK555" s="8">
        <f>ROUND(I555*H555,2)</f>
        <v>0</v>
      </c>
      <c r="BL555" s="7" t="s">
        <v>328</v>
      </c>
      <c r="BM555" s="6" t="s">
        <v>2080</v>
      </c>
    </row>
    <row r="556" spans="2:65" s="2" customFormat="1">
      <c r="B556" s="3"/>
      <c r="D556" s="107" t="s">
        <v>651</v>
      </c>
      <c r="F556" s="106" t="s">
        <v>2079</v>
      </c>
      <c r="I556" s="94"/>
      <c r="L556" s="3"/>
      <c r="M556" s="100"/>
      <c r="T556" s="99"/>
      <c r="AT556" s="7" t="s">
        <v>651</v>
      </c>
      <c r="AU556" s="7" t="s">
        <v>365</v>
      </c>
    </row>
    <row r="557" spans="2:65" s="2" customFormat="1" ht="48.75">
      <c r="B557" s="3"/>
      <c r="D557" s="96" t="s">
        <v>731</v>
      </c>
      <c r="F557" s="95" t="s">
        <v>2073</v>
      </c>
      <c r="I557" s="94"/>
      <c r="L557" s="3"/>
      <c r="M557" s="100"/>
      <c r="T557" s="99"/>
      <c r="AT557" s="7" t="s">
        <v>731</v>
      </c>
      <c r="AU557" s="7" t="s">
        <v>365</v>
      </c>
    </row>
    <row r="558" spans="2:65" s="269" customFormat="1">
      <c r="B558" s="273"/>
      <c r="D558" s="96" t="s">
        <v>704</v>
      </c>
      <c r="E558" s="270" t="s">
        <v>6</v>
      </c>
      <c r="F558" s="275" t="s">
        <v>2072</v>
      </c>
      <c r="H558" s="270" t="s">
        <v>6</v>
      </c>
      <c r="I558" s="274"/>
      <c r="L558" s="273"/>
      <c r="M558" s="272"/>
      <c r="T558" s="271"/>
      <c r="AT558" s="270" t="s">
        <v>704</v>
      </c>
      <c r="AU558" s="270" t="s">
        <v>365</v>
      </c>
      <c r="AV558" s="269" t="s">
        <v>2</v>
      </c>
      <c r="AW558" s="269" t="s">
        <v>703</v>
      </c>
      <c r="AX558" s="269" t="s">
        <v>25</v>
      </c>
      <c r="AY558" s="270" t="s">
        <v>3</v>
      </c>
    </row>
    <row r="559" spans="2:65" s="108" customFormat="1">
      <c r="B559" s="112"/>
      <c r="D559" s="96" t="s">
        <v>704</v>
      </c>
      <c r="E559" s="109" t="s">
        <v>6</v>
      </c>
      <c r="F559" s="115" t="s">
        <v>2078</v>
      </c>
      <c r="H559" s="114">
        <v>4</v>
      </c>
      <c r="I559" s="113"/>
      <c r="L559" s="112"/>
      <c r="M559" s="111"/>
      <c r="T559" s="110"/>
      <c r="AT559" s="109" t="s">
        <v>704</v>
      </c>
      <c r="AU559" s="109" t="s">
        <v>365</v>
      </c>
      <c r="AV559" s="108" t="s">
        <v>365</v>
      </c>
      <c r="AW559" s="108" t="s">
        <v>703</v>
      </c>
      <c r="AX559" s="108" t="s">
        <v>2</v>
      </c>
      <c r="AY559" s="109" t="s">
        <v>3</v>
      </c>
    </row>
    <row r="560" spans="2:65" s="2" customFormat="1" ht="21.75" customHeight="1">
      <c r="B560" s="3"/>
      <c r="C560" s="20" t="s">
        <v>70</v>
      </c>
      <c r="D560" s="20" t="s">
        <v>4</v>
      </c>
      <c r="E560" s="19" t="s">
        <v>2077</v>
      </c>
      <c r="F560" s="14" t="s">
        <v>2076</v>
      </c>
      <c r="G560" s="18" t="s">
        <v>21</v>
      </c>
      <c r="H560" s="17">
        <v>1.3</v>
      </c>
      <c r="I560" s="16"/>
      <c r="J560" s="15">
        <f>ROUND(I560*H560,2)</f>
        <v>0</v>
      </c>
      <c r="K560" s="14" t="s">
        <v>654</v>
      </c>
      <c r="L560" s="3"/>
      <c r="M560" s="24" t="s">
        <v>6</v>
      </c>
      <c r="N560" s="23" t="s">
        <v>5</v>
      </c>
      <c r="P560" s="22">
        <f>O560*H560</f>
        <v>0</v>
      </c>
      <c r="Q560" s="22">
        <v>1.336E-2</v>
      </c>
      <c r="R560" s="22">
        <f>Q560*H560</f>
        <v>1.7368000000000001E-2</v>
      </c>
      <c r="S560" s="22">
        <v>0</v>
      </c>
      <c r="T560" s="21">
        <f>S560*H560</f>
        <v>0</v>
      </c>
      <c r="AR560" s="6" t="s">
        <v>328</v>
      </c>
      <c r="AT560" s="6" t="s">
        <v>4</v>
      </c>
      <c r="AU560" s="6" t="s">
        <v>365</v>
      </c>
      <c r="AY560" s="7" t="s">
        <v>3</v>
      </c>
      <c r="BE560" s="8">
        <f>IF(N560="základní",J560,0)</f>
        <v>0</v>
      </c>
      <c r="BF560" s="8">
        <f>IF(N560="snížená",J560,0)</f>
        <v>0</v>
      </c>
      <c r="BG560" s="8">
        <f>IF(N560="zákl. přenesená",J560,0)</f>
        <v>0</v>
      </c>
      <c r="BH560" s="8">
        <f>IF(N560="sníž. přenesená",J560,0)</f>
        <v>0</v>
      </c>
      <c r="BI560" s="8">
        <f>IF(N560="nulová",J560,0)</f>
        <v>0</v>
      </c>
      <c r="BJ560" s="7" t="s">
        <v>2</v>
      </c>
      <c r="BK560" s="8">
        <f>ROUND(I560*H560,2)</f>
        <v>0</v>
      </c>
      <c r="BL560" s="7" t="s">
        <v>328</v>
      </c>
      <c r="BM560" s="6" t="s">
        <v>2075</v>
      </c>
    </row>
    <row r="561" spans="2:65" s="2" customFormat="1">
      <c r="B561" s="3"/>
      <c r="D561" s="107" t="s">
        <v>651</v>
      </c>
      <c r="F561" s="106" t="s">
        <v>2074</v>
      </c>
      <c r="I561" s="94"/>
      <c r="L561" s="3"/>
      <c r="M561" s="100"/>
      <c r="T561" s="99"/>
      <c r="AT561" s="7" t="s">
        <v>651</v>
      </c>
      <c r="AU561" s="7" t="s">
        <v>365</v>
      </c>
    </row>
    <row r="562" spans="2:65" s="2" customFormat="1" ht="48.75">
      <c r="B562" s="3"/>
      <c r="D562" s="96" t="s">
        <v>731</v>
      </c>
      <c r="F562" s="95" t="s">
        <v>2073</v>
      </c>
      <c r="I562" s="94"/>
      <c r="L562" s="3"/>
      <c r="M562" s="100"/>
      <c r="T562" s="99"/>
      <c r="AT562" s="7" t="s">
        <v>731</v>
      </c>
      <c r="AU562" s="7" t="s">
        <v>365</v>
      </c>
    </row>
    <row r="563" spans="2:65" s="269" customFormat="1">
      <c r="B563" s="273"/>
      <c r="D563" s="96" t="s">
        <v>704</v>
      </c>
      <c r="E563" s="270" t="s">
        <v>6</v>
      </c>
      <c r="F563" s="275" t="s">
        <v>2072</v>
      </c>
      <c r="H563" s="270" t="s">
        <v>6</v>
      </c>
      <c r="I563" s="274"/>
      <c r="L563" s="273"/>
      <c r="M563" s="272"/>
      <c r="T563" s="271"/>
      <c r="AT563" s="270" t="s">
        <v>704</v>
      </c>
      <c r="AU563" s="270" t="s">
        <v>365</v>
      </c>
      <c r="AV563" s="269" t="s">
        <v>2</v>
      </c>
      <c r="AW563" s="269" t="s">
        <v>703</v>
      </c>
      <c r="AX563" s="269" t="s">
        <v>25</v>
      </c>
      <c r="AY563" s="270" t="s">
        <v>3</v>
      </c>
    </row>
    <row r="564" spans="2:65" s="108" customFormat="1">
      <c r="B564" s="112"/>
      <c r="D564" s="96" t="s">
        <v>704</v>
      </c>
      <c r="E564" s="109" t="s">
        <v>6</v>
      </c>
      <c r="F564" s="115" t="s">
        <v>2071</v>
      </c>
      <c r="H564" s="114">
        <v>1.3</v>
      </c>
      <c r="I564" s="113"/>
      <c r="L564" s="112"/>
      <c r="M564" s="111"/>
      <c r="T564" s="110"/>
      <c r="AT564" s="109" t="s">
        <v>704</v>
      </c>
      <c r="AU564" s="109" t="s">
        <v>365</v>
      </c>
      <c r="AV564" s="108" t="s">
        <v>365</v>
      </c>
      <c r="AW564" s="108" t="s">
        <v>703</v>
      </c>
      <c r="AX564" s="108" t="s">
        <v>2</v>
      </c>
      <c r="AY564" s="109" t="s">
        <v>3</v>
      </c>
    </row>
    <row r="565" spans="2:65" s="2" customFormat="1" ht="16.5" customHeight="1">
      <c r="B565" s="3"/>
      <c r="C565" s="20" t="s">
        <v>1284</v>
      </c>
      <c r="D565" s="20" t="s">
        <v>4</v>
      </c>
      <c r="E565" s="19" t="s">
        <v>2070</v>
      </c>
      <c r="F565" s="14" t="s">
        <v>2069</v>
      </c>
      <c r="G565" s="18" t="s">
        <v>714</v>
      </c>
      <c r="H565" s="17">
        <v>1</v>
      </c>
      <c r="I565" s="16"/>
      <c r="J565" s="15">
        <f>ROUND(I565*H565,2)</f>
        <v>0</v>
      </c>
      <c r="K565" s="14" t="s">
        <v>7</v>
      </c>
      <c r="L565" s="3"/>
      <c r="M565" s="24" t="s">
        <v>6</v>
      </c>
      <c r="N565" s="23" t="s">
        <v>5</v>
      </c>
      <c r="P565" s="22">
        <f>O565*H565</f>
        <v>0</v>
      </c>
      <c r="Q565" s="22">
        <v>0</v>
      </c>
      <c r="R565" s="22">
        <f>Q565*H565</f>
        <v>0</v>
      </c>
      <c r="S565" s="22">
        <v>0</v>
      </c>
      <c r="T565" s="21">
        <f>S565*H565</f>
        <v>0</v>
      </c>
      <c r="AR565" s="6" t="s">
        <v>328</v>
      </c>
      <c r="AT565" s="6" t="s">
        <v>4</v>
      </c>
      <c r="AU565" s="6" t="s">
        <v>365</v>
      </c>
      <c r="AY565" s="7" t="s">
        <v>3</v>
      </c>
      <c r="BE565" s="8">
        <f>IF(N565="základní",J565,0)</f>
        <v>0</v>
      </c>
      <c r="BF565" s="8">
        <f>IF(N565="snížená",J565,0)</f>
        <v>0</v>
      </c>
      <c r="BG565" s="8">
        <f>IF(N565="zákl. přenesená",J565,0)</f>
        <v>0</v>
      </c>
      <c r="BH565" s="8">
        <f>IF(N565="sníž. přenesená",J565,0)</f>
        <v>0</v>
      </c>
      <c r="BI565" s="8">
        <f>IF(N565="nulová",J565,0)</f>
        <v>0</v>
      </c>
      <c r="BJ565" s="7" t="s">
        <v>2</v>
      </c>
      <c r="BK565" s="8">
        <f>ROUND(I565*H565,2)</f>
        <v>0</v>
      </c>
      <c r="BL565" s="7" t="s">
        <v>328</v>
      </c>
      <c r="BM565" s="6" t="s">
        <v>2068</v>
      </c>
    </row>
    <row r="566" spans="2:65" s="2" customFormat="1" ht="24.2" customHeight="1">
      <c r="B566" s="3"/>
      <c r="C566" s="20" t="s">
        <v>66</v>
      </c>
      <c r="D566" s="20" t="s">
        <v>4</v>
      </c>
      <c r="E566" s="19" t="s">
        <v>2067</v>
      </c>
      <c r="F566" s="14" t="s">
        <v>2066</v>
      </c>
      <c r="G566" s="18" t="s">
        <v>735</v>
      </c>
      <c r="H566" s="17">
        <v>0.311</v>
      </c>
      <c r="I566" s="16"/>
      <c r="J566" s="15">
        <f>ROUND(I566*H566,2)</f>
        <v>0</v>
      </c>
      <c r="K566" s="14" t="s">
        <v>654</v>
      </c>
      <c r="L566" s="3"/>
      <c r="M566" s="24" t="s">
        <v>6</v>
      </c>
      <c r="N566" s="23" t="s">
        <v>5</v>
      </c>
      <c r="P566" s="22">
        <f>O566*H566</f>
        <v>0</v>
      </c>
      <c r="Q566" s="22">
        <v>0</v>
      </c>
      <c r="R566" s="22">
        <f>Q566*H566</f>
        <v>0</v>
      </c>
      <c r="S566" s="22">
        <v>0</v>
      </c>
      <c r="T566" s="21">
        <f>S566*H566</f>
        <v>0</v>
      </c>
      <c r="AR566" s="6" t="s">
        <v>328</v>
      </c>
      <c r="AT566" s="6" t="s">
        <v>4</v>
      </c>
      <c r="AU566" s="6" t="s">
        <v>365</v>
      </c>
      <c r="AY566" s="7" t="s">
        <v>3</v>
      </c>
      <c r="BE566" s="8">
        <f>IF(N566="základní",J566,0)</f>
        <v>0</v>
      </c>
      <c r="BF566" s="8">
        <f>IF(N566="snížená",J566,0)</f>
        <v>0</v>
      </c>
      <c r="BG566" s="8">
        <f>IF(N566="zákl. přenesená",J566,0)</f>
        <v>0</v>
      </c>
      <c r="BH566" s="8">
        <f>IF(N566="sníž. přenesená",J566,0)</f>
        <v>0</v>
      </c>
      <c r="BI566" s="8">
        <f>IF(N566="nulová",J566,0)</f>
        <v>0</v>
      </c>
      <c r="BJ566" s="7" t="s">
        <v>2</v>
      </c>
      <c r="BK566" s="8">
        <f>ROUND(I566*H566,2)</f>
        <v>0</v>
      </c>
      <c r="BL566" s="7" t="s">
        <v>328</v>
      </c>
      <c r="BM566" s="6" t="s">
        <v>2065</v>
      </c>
    </row>
    <row r="567" spans="2:65" s="2" customFormat="1">
      <c r="B567" s="3"/>
      <c r="D567" s="107" t="s">
        <v>651</v>
      </c>
      <c r="F567" s="106" t="s">
        <v>2064</v>
      </c>
      <c r="I567" s="94"/>
      <c r="L567" s="3"/>
      <c r="M567" s="100"/>
      <c r="T567" s="99"/>
      <c r="AT567" s="7" t="s">
        <v>651</v>
      </c>
      <c r="AU567" s="7" t="s">
        <v>365</v>
      </c>
    </row>
    <row r="568" spans="2:65" s="2" customFormat="1" ht="78">
      <c r="B568" s="3"/>
      <c r="D568" s="96" t="s">
        <v>731</v>
      </c>
      <c r="F568" s="95" t="s">
        <v>2059</v>
      </c>
      <c r="I568" s="94"/>
      <c r="L568" s="3"/>
      <c r="M568" s="100"/>
      <c r="T568" s="99"/>
      <c r="AT568" s="7" t="s">
        <v>731</v>
      </c>
      <c r="AU568" s="7" t="s">
        <v>365</v>
      </c>
    </row>
    <row r="569" spans="2:65" s="2" customFormat="1" ht="24.2" customHeight="1">
      <c r="B569" s="3"/>
      <c r="C569" s="20" t="s">
        <v>1283</v>
      </c>
      <c r="D569" s="20" t="s">
        <v>4</v>
      </c>
      <c r="E569" s="19" t="s">
        <v>2063</v>
      </c>
      <c r="F569" s="14" t="s">
        <v>2062</v>
      </c>
      <c r="G569" s="18" t="s">
        <v>735</v>
      </c>
      <c r="H569" s="17">
        <v>0.311</v>
      </c>
      <c r="I569" s="16"/>
      <c r="J569" s="15">
        <f>ROUND(I569*H569,2)</f>
        <v>0</v>
      </c>
      <c r="K569" s="14" t="s">
        <v>654</v>
      </c>
      <c r="L569" s="3"/>
      <c r="M569" s="24" t="s">
        <v>6</v>
      </c>
      <c r="N569" s="23" t="s">
        <v>5</v>
      </c>
      <c r="P569" s="22">
        <f>O569*H569</f>
        <v>0</v>
      </c>
      <c r="Q569" s="22">
        <v>0</v>
      </c>
      <c r="R569" s="22">
        <f>Q569*H569</f>
        <v>0</v>
      </c>
      <c r="S569" s="22">
        <v>0</v>
      </c>
      <c r="T569" s="21">
        <f>S569*H569</f>
        <v>0</v>
      </c>
      <c r="AR569" s="6" t="s">
        <v>328</v>
      </c>
      <c r="AT569" s="6" t="s">
        <v>4</v>
      </c>
      <c r="AU569" s="6" t="s">
        <v>365</v>
      </c>
      <c r="AY569" s="7" t="s">
        <v>3</v>
      </c>
      <c r="BE569" s="8">
        <f>IF(N569="základní",J569,0)</f>
        <v>0</v>
      </c>
      <c r="BF569" s="8">
        <f>IF(N569="snížená",J569,0)</f>
        <v>0</v>
      </c>
      <c r="BG569" s="8">
        <f>IF(N569="zákl. přenesená",J569,0)</f>
        <v>0</v>
      </c>
      <c r="BH569" s="8">
        <f>IF(N569="sníž. přenesená",J569,0)</f>
        <v>0</v>
      </c>
      <c r="BI569" s="8">
        <f>IF(N569="nulová",J569,0)</f>
        <v>0</v>
      </c>
      <c r="BJ569" s="7" t="s">
        <v>2</v>
      </c>
      <c r="BK569" s="8">
        <f>ROUND(I569*H569,2)</f>
        <v>0</v>
      </c>
      <c r="BL569" s="7" t="s">
        <v>328</v>
      </c>
      <c r="BM569" s="6" t="s">
        <v>2061</v>
      </c>
    </row>
    <row r="570" spans="2:65" s="2" customFormat="1">
      <c r="B570" s="3"/>
      <c r="D570" s="107" t="s">
        <v>651</v>
      </c>
      <c r="F570" s="106" t="s">
        <v>2060</v>
      </c>
      <c r="I570" s="94"/>
      <c r="L570" s="3"/>
      <c r="M570" s="100"/>
      <c r="T570" s="99"/>
      <c r="AT570" s="7" t="s">
        <v>651</v>
      </c>
      <c r="AU570" s="7" t="s">
        <v>365</v>
      </c>
    </row>
    <row r="571" spans="2:65" s="2" customFormat="1" ht="78">
      <c r="B571" s="3"/>
      <c r="D571" s="96" t="s">
        <v>731</v>
      </c>
      <c r="F571" s="95" t="s">
        <v>2059</v>
      </c>
      <c r="I571" s="94"/>
      <c r="L571" s="3"/>
      <c r="M571" s="93"/>
      <c r="N571" s="11"/>
      <c r="O571" s="11"/>
      <c r="P571" s="11"/>
      <c r="Q571" s="11"/>
      <c r="R571" s="11"/>
      <c r="S571" s="11"/>
      <c r="T571" s="92"/>
      <c r="AT571" s="7" t="s">
        <v>731</v>
      </c>
      <c r="AU571" s="7" t="s">
        <v>365</v>
      </c>
    </row>
    <row r="572" spans="2:65" s="2" customFormat="1" ht="6.95" customHeight="1">
      <c r="B572" s="5"/>
      <c r="C572" s="4"/>
      <c r="D572" s="4"/>
      <c r="E572" s="4"/>
      <c r="F572" s="4"/>
      <c r="G572" s="4"/>
      <c r="H572" s="4"/>
      <c r="I572" s="4"/>
      <c r="J572" s="4"/>
      <c r="K572" s="4"/>
      <c r="L572" s="3"/>
    </row>
  </sheetData>
  <sheetProtection algorithmName="SHA-512" hashValue="4o0HSguwkpGA6Bysa36avzHQYVy3Qh6KEdKIRMesn8/Nf06EyNza69y9ILquepgE0S58r1hAMFmA/qN2vu4iJQ==" saltValue="ICA1BzVnuRRPgshnZ2xq5AEE3bbxmKx8FX3in/Y9IOJSMf4Kr302+V3tyNPZUxkNBvO3GRa8GF7tOINiNd7RQw==" spinCount="100000" sheet="1" objects="1" scenarios="1" formatColumns="0" formatRows="0" autoFilter="0"/>
  <autoFilter ref="C90:K571" xr:uid="{00000000-0009-0000-0000-000001000000}"/>
  <mergeCells count="9">
    <mergeCell ref="E50:H50"/>
    <mergeCell ref="E81:H81"/>
    <mergeCell ref="E83:H83"/>
    <mergeCell ref="L2:V2"/>
    <mergeCell ref="E7:H7"/>
    <mergeCell ref="E9:H9"/>
    <mergeCell ref="E18:H18"/>
    <mergeCell ref="E27:H27"/>
    <mergeCell ref="E48:H48"/>
  </mergeCells>
  <hyperlinks>
    <hyperlink ref="F95" r:id="rId1" xr:uid="{1C84996B-16E2-404D-B518-052E95D495BD}"/>
    <hyperlink ref="F103" r:id="rId2" xr:uid="{219D903B-D7A7-4E72-B476-5F6260883267}"/>
    <hyperlink ref="F106" r:id="rId3" xr:uid="{66CB1655-2799-42CA-9E25-CBDCCD5F7B8A}"/>
    <hyperlink ref="F110" r:id="rId4" xr:uid="{2BEE6904-6046-4660-902D-EEC4BF99A5E3}"/>
    <hyperlink ref="F113" r:id="rId5" xr:uid="{2D04F1E7-71FC-4BF0-B302-F7BB52230830}"/>
    <hyperlink ref="F116" r:id="rId6" xr:uid="{10C436DD-E26F-4E76-A63D-86F310027196}"/>
    <hyperlink ref="F121" r:id="rId7" xr:uid="{70196AB6-A4D8-4B15-9ACB-43312DE6593C}"/>
    <hyperlink ref="F142" r:id="rId8" xr:uid="{7D707DB6-9932-4BEF-B9D2-13D2D302EDCC}"/>
    <hyperlink ref="F145" r:id="rId9" xr:uid="{CF54D817-E073-41B0-AF19-B775BF82E63E}"/>
    <hyperlink ref="F152" r:id="rId10" xr:uid="{F80D6BDF-3E8F-4757-8D0F-A6BB451660DF}"/>
    <hyperlink ref="F155" r:id="rId11" xr:uid="{246F7CC4-37C4-42E6-AB67-88066EE2E0A0}"/>
    <hyperlink ref="F160" r:id="rId12" xr:uid="{2BAA22D9-ACE6-4E96-90B7-47C62041299F}"/>
    <hyperlink ref="F163" r:id="rId13" xr:uid="{8190D94B-A767-41FF-9C84-B5451D552E95}"/>
    <hyperlink ref="F184" r:id="rId14" xr:uid="{B1966FB8-E4AE-4F2C-ACC8-8C3183483D99}"/>
    <hyperlink ref="F190" r:id="rId15" xr:uid="{0864F896-D8CF-4D23-B918-9EFD83247EDF}"/>
    <hyperlink ref="F197" r:id="rId16" xr:uid="{9DC565BA-1826-4C7F-81A6-E8D800AB6304}"/>
    <hyperlink ref="F203" r:id="rId17" xr:uid="{78FB10C0-1425-4E01-8BCC-4F98C88CBE25}"/>
    <hyperlink ref="F209" r:id="rId18" xr:uid="{914E3E1E-C96B-4B5D-8B62-49BB7D3BAB78}"/>
    <hyperlink ref="F215" r:id="rId19" xr:uid="{5D165D6A-E99A-4EA0-9E8E-E038C428ABA0}"/>
    <hyperlink ref="F221" r:id="rId20" xr:uid="{B04099E9-A9E2-4863-BECC-EF4A9BE9002F}"/>
    <hyperlink ref="F227" r:id="rId21" xr:uid="{6218213E-5923-4999-B3AC-FBCA6CB933DF}"/>
    <hyperlink ref="F233" r:id="rId22" xr:uid="{8B179C23-AA30-458B-8307-502A25021758}"/>
    <hyperlink ref="F239" r:id="rId23" xr:uid="{C943ABD9-CDF2-4FCD-AE1E-8F2501632E8E}"/>
    <hyperlink ref="F245" r:id="rId24" xr:uid="{A89B872B-2899-46D9-84B9-D88C9BD350D5}"/>
    <hyperlink ref="F251" r:id="rId25" xr:uid="{77148C31-9AEC-485A-86B0-54334C01B3E3}"/>
    <hyperlink ref="F257" r:id="rId26" xr:uid="{60B2DE28-0265-4CF9-869E-FA35705B4F06}"/>
    <hyperlink ref="F263" r:id="rId27" xr:uid="{B3E205CF-F9A1-4BA8-9C98-849FD842537B}"/>
    <hyperlink ref="F279" r:id="rId28" xr:uid="{00B3EC09-001B-4178-8ADF-A94AAB9BEDDF}"/>
    <hyperlink ref="F291" r:id="rId29" xr:uid="{B3C014C9-F3BF-4FD7-8885-8F1E516B27C6}"/>
    <hyperlink ref="F294" r:id="rId30" xr:uid="{9AE66C7A-76EC-4776-9DCF-6D2AA72642E0}"/>
    <hyperlink ref="F299" r:id="rId31" xr:uid="{2A555330-20D2-485D-A860-16881CC3A0FA}"/>
    <hyperlink ref="F301" r:id="rId32" xr:uid="{BCE1C50D-3FF2-412F-AACF-E0EF8EF11E8C}"/>
    <hyperlink ref="F303" r:id="rId33" xr:uid="{DE260FC3-AE12-4CFE-93CE-8492D7F979EA}"/>
    <hyperlink ref="F306" r:id="rId34" xr:uid="{0786FE2F-B8A3-4F0C-A192-ED27E0CCAE14}"/>
    <hyperlink ref="F308" r:id="rId35" xr:uid="{A9EBED4B-2C00-4E00-8FC6-DE42261B3045}"/>
    <hyperlink ref="F321" r:id="rId36" xr:uid="{0D64E176-FF30-4805-A2EC-C145337F8EE3}"/>
    <hyperlink ref="F327" r:id="rId37" xr:uid="{D0AA1A0F-D7E5-49FB-B3AF-4187E371AE8C}"/>
    <hyperlink ref="F332" r:id="rId38" xr:uid="{98ACDEED-22AE-48B4-84B9-85B69D803E1B}"/>
    <hyperlink ref="F337" r:id="rId39" xr:uid="{6AA55AC1-4EB9-434E-B31C-10DD6FF62D00}"/>
    <hyperlink ref="F342" r:id="rId40" xr:uid="{8DDD581A-A619-472C-9077-809E9D7DA7BB}"/>
    <hyperlink ref="F347" r:id="rId41" xr:uid="{988C5EB6-EDA3-4BB8-BC9E-06C0C85483A1}"/>
    <hyperlink ref="F352" r:id="rId42" xr:uid="{BAD8891C-8B10-4787-8BEC-486DF45C6A73}"/>
    <hyperlink ref="F357" r:id="rId43" xr:uid="{05F28BE2-D8AF-4556-87F7-B1EC4BE3C39E}"/>
    <hyperlink ref="F362" r:id="rId44" xr:uid="{0672DF7E-4048-4B6C-AE94-75FE9D6A32C8}"/>
    <hyperlink ref="F367" r:id="rId45" xr:uid="{2DBD30D6-5C3C-4392-A8CA-F7D877CE4EFA}"/>
    <hyperlink ref="F372" r:id="rId46" xr:uid="{1954E84D-7181-45C3-9956-1CC81B6F9044}"/>
    <hyperlink ref="F377" r:id="rId47" xr:uid="{813B86DF-9372-4983-A230-4E6E1C99CD5B}"/>
    <hyperlink ref="F382" r:id="rId48" xr:uid="{A5567065-4D4E-4871-ACC4-D55E5B448925}"/>
    <hyperlink ref="F387" r:id="rId49" xr:uid="{C226E12D-1BB8-44F0-81A5-00E7C8F7A081}"/>
    <hyperlink ref="F397" r:id="rId50" xr:uid="{3386614A-CF4F-4E62-97B3-B9785C71E9BC}"/>
    <hyperlink ref="F402" r:id="rId51" xr:uid="{089B8F7A-27B2-4039-B3FD-20DE1E99BD75}"/>
    <hyperlink ref="F407" r:id="rId52" xr:uid="{AF017381-4557-4BD4-AE83-B2E051BBE307}"/>
    <hyperlink ref="F412" r:id="rId53" xr:uid="{FB6A6D58-F399-40D8-8E1C-F6A701E43CB1}"/>
    <hyperlink ref="F417" r:id="rId54" xr:uid="{70424021-8295-4C45-B432-668DDCBB3972}"/>
    <hyperlink ref="F426" r:id="rId55" xr:uid="{3225461D-C99C-47A3-B25B-C88738005CB2}"/>
    <hyperlink ref="F433" r:id="rId56" xr:uid="{BF97F380-B7E1-4B61-95CF-3BBB379AC4CE}"/>
    <hyperlink ref="F436" r:id="rId57" xr:uid="{513BACBB-BE0A-409E-AED4-EA25ACA7853E}"/>
    <hyperlink ref="F439" r:id="rId58" xr:uid="{6B56D277-8914-4388-A735-B5DCB5A4497B}"/>
    <hyperlink ref="F441" r:id="rId59" xr:uid="{19607C5E-C64A-46F4-86D7-3D9C08DE5BA9}"/>
    <hyperlink ref="F443" r:id="rId60" xr:uid="{AA87438C-DC99-4E40-A220-48518D461F78}"/>
    <hyperlink ref="F445" r:id="rId61" xr:uid="{67E617F4-F2E6-4AAC-8EA6-E96FCD54F169}"/>
    <hyperlink ref="F492" r:id="rId62" xr:uid="{33C513DB-7ABB-4D84-98FE-78D58739D166}"/>
    <hyperlink ref="F495" r:id="rId63" xr:uid="{AB0A09C2-6008-42A1-8526-78846087EF33}"/>
    <hyperlink ref="F539" r:id="rId64" xr:uid="{AA29CA78-7C86-45F7-8103-983094642BCB}"/>
    <hyperlink ref="F542" r:id="rId65" xr:uid="{29924A2A-CDAE-4712-A62E-3AAD4307D045}"/>
    <hyperlink ref="F546" r:id="rId66" xr:uid="{B18E5882-F857-419E-810A-C26F79C68081}"/>
    <hyperlink ref="F551" r:id="rId67" xr:uid="{16C22A5C-1865-4B33-89F1-A2809CF96089}"/>
    <hyperlink ref="F556" r:id="rId68" xr:uid="{540041DF-3B0C-44DE-B96C-899679571BC2}"/>
    <hyperlink ref="F561" r:id="rId69" xr:uid="{1EAF68AD-18B5-43AA-AE23-3CF26953A644}"/>
    <hyperlink ref="F567" r:id="rId70" xr:uid="{6CE5765A-9C45-4DBF-A1A8-7061F2354A82}"/>
    <hyperlink ref="F570" r:id="rId71" xr:uid="{4BBB48C7-8FCF-44D0-9B34-5E55878F3498}"/>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241EC-C39F-4225-A60C-9B759AB05F8C}">
  <sheetPr>
    <pageSetUpPr fitToPage="1"/>
  </sheetPr>
  <dimension ref="B2:BM243"/>
  <sheetViews>
    <sheetView showGridLines="0" topLeftCell="A140" workbookViewId="0">
      <selection activeCell="I142" sqref="I142"/>
    </sheetView>
  </sheetViews>
  <sheetFormatPr defaultRowHeight="11.25"/>
  <cols>
    <col min="1" max="1" width="7.140625" style="1" customWidth="1"/>
    <col min="2" max="2" width="1" style="1" customWidth="1"/>
    <col min="3" max="3" width="3.5703125" style="1" customWidth="1"/>
    <col min="4" max="4" width="3.7109375" style="1" customWidth="1"/>
    <col min="5" max="5" width="14.7109375" style="1" customWidth="1"/>
    <col min="6" max="6" width="43.5703125" style="1" customWidth="1"/>
    <col min="7" max="7" width="6.42578125" style="1" customWidth="1"/>
    <col min="8" max="8" width="12" style="1" customWidth="1"/>
    <col min="9" max="9" width="13.5703125" style="1" customWidth="1"/>
    <col min="10" max="11" width="19.140625" style="1" customWidth="1"/>
    <col min="12" max="12" width="8" style="1" customWidth="1"/>
    <col min="13" max="13" width="9.28515625" style="1" hidden="1" customWidth="1"/>
    <col min="14" max="14" width="9.140625" style="1"/>
    <col min="15" max="20" width="12.140625" style="1" hidden="1" customWidth="1"/>
    <col min="21" max="21" width="14" style="1" hidden="1" customWidth="1"/>
    <col min="22" max="22" width="10.5703125" style="1" customWidth="1"/>
    <col min="23" max="23" width="14" style="1" customWidth="1"/>
    <col min="24" max="24" width="10.5703125" style="1" customWidth="1"/>
    <col min="25" max="25" width="12.85546875" style="1" customWidth="1"/>
    <col min="26" max="26" width="9.42578125" style="1" customWidth="1"/>
    <col min="27" max="27" width="12.85546875" style="1" customWidth="1"/>
    <col min="28" max="28" width="14" style="1" customWidth="1"/>
    <col min="29" max="29" width="9.42578125" style="1" customWidth="1"/>
    <col min="30" max="30" width="12.85546875" style="1" customWidth="1"/>
    <col min="31" max="31" width="14" style="1" customWidth="1"/>
    <col min="32" max="16384" width="9.140625" style="1"/>
  </cols>
  <sheetData>
    <row r="2" spans="2:46" ht="36.950000000000003" customHeight="1">
      <c r="L2" s="260"/>
      <c r="M2" s="260"/>
      <c r="N2" s="260"/>
      <c r="O2" s="260"/>
      <c r="P2" s="260"/>
      <c r="Q2" s="260"/>
      <c r="R2" s="260"/>
      <c r="S2" s="260"/>
      <c r="T2" s="260"/>
      <c r="U2" s="260"/>
      <c r="V2" s="260"/>
      <c r="AT2" s="7" t="s">
        <v>650</v>
      </c>
    </row>
    <row r="3" spans="2:46" ht="6.95" customHeight="1">
      <c r="B3" s="91"/>
      <c r="C3" s="90"/>
      <c r="D3" s="90"/>
      <c r="E3" s="90"/>
      <c r="F3" s="90"/>
      <c r="G3" s="90"/>
      <c r="H3" s="90"/>
      <c r="I3" s="90"/>
      <c r="J3" s="90"/>
      <c r="K3" s="90"/>
      <c r="L3" s="72"/>
      <c r="AT3" s="7" t="s">
        <v>365</v>
      </c>
    </row>
    <row r="4" spans="2:46" ht="24.95" customHeight="1">
      <c r="B4" s="72"/>
      <c r="D4" s="55" t="s">
        <v>440</v>
      </c>
      <c r="L4" s="72"/>
      <c r="M4" s="89" t="s">
        <v>439</v>
      </c>
      <c r="AT4" s="7" t="s">
        <v>438</v>
      </c>
    </row>
    <row r="5" spans="2:46" ht="6.95" customHeight="1">
      <c r="B5" s="72"/>
      <c r="L5" s="72"/>
    </row>
    <row r="6" spans="2:46" ht="12" customHeight="1">
      <c r="B6" s="72"/>
      <c r="D6" s="52" t="s">
        <v>395</v>
      </c>
      <c r="L6" s="72"/>
    </row>
    <row r="7" spans="2:46" ht="26.25" customHeight="1">
      <c r="B7" s="72"/>
      <c r="E7" s="258" t="s">
        <v>2057</v>
      </c>
      <c r="F7" s="259"/>
      <c r="G7" s="259"/>
      <c r="H7" s="259"/>
      <c r="L7" s="72"/>
    </row>
    <row r="8" spans="2:46" s="2" customFormat="1" ht="12" customHeight="1">
      <c r="B8" s="3"/>
      <c r="D8" s="52" t="s">
        <v>394</v>
      </c>
      <c r="L8" s="3"/>
    </row>
    <row r="9" spans="2:46" s="2" customFormat="1" ht="16.5" customHeight="1">
      <c r="B9" s="3"/>
      <c r="E9" s="256" t="s">
        <v>649</v>
      </c>
      <c r="F9" s="257"/>
      <c r="G9" s="257"/>
      <c r="H9" s="257"/>
      <c r="L9" s="3"/>
    </row>
    <row r="10" spans="2:46" s="2" customFormat="1">
      <c r="B10" s="3"/>
      <c r="L10" s="3"/>
    </row>
    <row r="11" spans="2:46" s="2" customFormat="1" ht="12" customHeight="1">
      <c r="B11" s="3"/>
      <c r="D11" s="52" t="s">
        <v>436</v>
      </c>
      <c r="F11" s="53" t="s">
        <v>6</v>
      </c>
      <c r="I11" s="52" t="s">
        <v>435</v>
      </c>
      <c r="J11" s="53" t="s">
        <v>6</v>
      </c>
      <c r="L11" s="3"/>
    </row>
    <row r="12" spans="2:46" s="2" customFormat="1" ht="12" customHeight="1">
      <c r="B12" s="3"/>
      <c r="D12" s="52" t="s">
        <v>393</v>
      </c>
      <c r="F12" s="53" t="s">
        <v>434</v>
      </c>
      <c r="I12" s="52" t="s">
        <v>392</v>
      </c>
      <c r="J12" s="54" t="s">
        <v>2058</v>
      </c>
      <c r="L12" s="3"/>
    </row>
    <row r="13" spans="2:46" s="2" customFormat="1" ht="10.9" customHeight="1">
      <c r="B13" s="3"/>
      <c r="L13" s="3"/>
    </row>
    <row r="14" spans="2:46" s="2" customFormat="1" ht="12" customHeight="1">
      <c r="B14" s="3"/>
      <c r="D14" s="52" t="s">
        <v>391</v>
      </c>
      <c r="I14" s="52" t="s">
        <v>429</v>
      </c>
      <c r="J14" s="53" t="s">
        <v>6</v>
      </c>
      <c r="L14" s="3"/>
    </row>
    <row r="15" spans="2:46" s="2" customFormat="1" ht="18" customHeight="1">
      <c r="B15" s="3"/>
      <c r="E15" s="53" t="s">
        <v>433</v>
      </c>
      <c r="I15" s="52" t="s">
        <v>428</v>
      </c>
      <c r="J15" s="53" t="s">
        <v>6</v>
      </c>
      <c r="L15" s="3"/>
    </row>
    <row r="16" spans="2:46" s="2" customFormat="1" ht="6.95" customHeight="1">
      <c r="B16" s="3"/>
      <c r="L16" s="3"/>
    </row>
    <row r="17" spans="2:12" s="2" customFormat="1" ht="12" customHeight="1">
      <c r="B17" s="3"/>
      <c r="D17" s="52" t="s">
        <v>389</v>
      </c>
      <c r="I17" s="52" t="s">
        <v>429</v>
      </c>
      <c r="J17" s="88" t="s">
        <v>2056</v>
      </c>
      <c r="L17" s="3"/>
    </row>
    <row r="18" spans="2:12" s="2" customFormat="1" ht="18" customHeight="1">
      <c r="B18" s="3"/>
      <c r="E18" s="261" t="s">
        <v>2056</v>
      </c>
      <c r="F18" s="262"/>
      <c r="G18" s="262"/>
      <c r="H18" s="262"/>
      <c r="I18" s="52" t="s">
        <v>428</v>
      </c>
      <c r="J18" s="88" t="s">
        <v>2056</v>
      </c>
      <c r="L18" s="3"/>
    </row>
    <row r="19" spans="2:12" s="2" customFormat="1" ht="6.95" customHeight="1">
      <c r="B19" s="3"/>
      <c r="L19" s="3"/>
    </row>
    <row r="20" spans="2:12" s="2" customFormat="1" ht="12" customHeight="1">
      <c r="B20" s="3"/>
      <c r="D20" s="52" t="s">
        <v>390</v>
      </c>
      <c r="I20" s="52" t="s">
        <v>429</v>
      </c>
      <c r="J20" s="53" t="s">
        <v>432</v>
      </c>
      <c r="L20" s="3"/>
    </row>
    <row r="21" spans="2:12" s="2" customFormat="1" ht="18" customHeight="1">
      <c r="B21" s="3"/>
      <c r="E21" s="53" t="s">
        <v>431</v>
      </c>
      <c r="I21" s="52" t="s">
        <v>428</v>
      </c>
      <c r="J21" s="53" t="s">
        <v>430</v>
      </c>
      <c r="L21" s="3"/>
    </row>
    <row r="22" spans="2:12" s="2" customFormat="1" ht="6.95" customHeight="1">
      <c r="B22" s="3"/>
      <c r="L22" s="3"/>
    </row>
    <row r="23" spans="2:12" s="2" customFormat="1" ht="12" customHeight="1">
      <c r="B23" s="3"/>
      <c r="D23" s="52" t="s">
        <v>388</v>
      </c>
      <c r="I23" s="52" t="s">
        <v>429</v>
      </c>
      <c r="J23" s="53" t="s">
        <v>6</v>
      </c>
      <c r="L23" s="3"/>
    </row>
    <row r="24" spans="2:12" s="2" customFormat="1" ht="18" customHeight="1">
      <c r="B24" s="3"/>
      <c r="E24" s="53" t="s">
        <v>1305</v>
      </c>
      <c r="I24" s="52" t="s">
        <v>428</v>
      </c>
      <c r="J24" s="53" t="s">
        <v>6</v>
      </c>
      <c r="L24" s="3"/>
    </row>
    <row r="25" spans="2:12" s="2" customFormat="1" ht="6.95" customHeight="1">
      <c r="B25" s="3"/>
      <c r="L25" s="3"/>
    </row>
    <row r="26" spans="2:12" s="2" customFormat="1" ht="12" customHeight="1">
      <c r="B26" s="3"/>
      <c r="D26" s="52" t="s">
        <v>427</v>
      </c>
      <c r="L26" s="3"/>
    </row>
    <row r="27" spans="2:12" s="86" customFormat="1" ht="16.5" customHeight="1">
      <c r="B27" s="87"/>
      <c r="E27" s="263" t="s">
        <v>6</v>
      </c>
      <c r="F27" s="263"/>
      <c r="G27" s="263"/>
      <c r="H27" s="263"/>
      <c r="L27" s="87"/>
    </row>
    <row r="28" spans="2:12" s="2" customFormat="1" ht="6.95" customHeight="1">
      <c r="B28" s="3"/>
      <c r="L28" s="3"/>
    </row>
    <row r="29" spans="2:12" s="2" customFormat="1" ht="6.95" customHeight="1">
      <c r="B29" s="3"/>
      <c r="D29" s="38"/>
      <c r="E29" s="38"/>
      <c r="F29" s="38"/>
      <c r="G29" s="38"/>
      <c r="H29" s="38"/>
      <c r="I29" s="38"/>
      <c r="J29" s="38"/>
      <c r="K29" s="38"/>
      <c r="L29" s="3"/>
    </row>
    <row r="30" spans="2:12" s="2" customFormat="1" ht="25.35" customHeight="1">
      <c r="B30" s="3"/>
      <c r="D30" s="85" t="s">
        <v>426</v>
      </c>
      <c r="J30" s="63">
        <f>ROUND(J139, 2)</f>
        <v>0</v>
      </c>
      <c r="L30" s="3"/>
    </row>
    <row r="31" spans="2:12" s="2" customFormat="1" ht="6.95" customHeight="1">
      <c r="B31" s="3"/>
      <c r="D31" s="38"/>
      <c r="E31" s="38"/>
      <c r="F31" s="38"/>
      <c r="G31" s="38"/>
      <c r="H31" s="38"/>
      <c r="I31" s="38"/>
      <c r="J31" s="38"/>
      <c r="K31" s="38"/>
      <c r="L31" s="3"/>
    </row>
    <row r="32" spans="2:12" s="2" customFormat="1" ht="14.45" customHeight="1">
      <c r="B32" s="3"/>
      <c r="F32" s="84" t="s">
        <v>425</v>
      </c>
      <c r="I32" s="84" t="s">
        <v>424</v>
      </c>
      <c r="J32" s="84" t="s">
        <v>423</v>
      </c>
      <c r="L32" s="3"/>
    </row>
    <row r="33" spans="2:12" s="2" customFormat="1" ht="14.45" customHeight="1">
      <c r="B33" s="3"/>
      <c r="D33" s="83" t="s">
        <v>378</v>
      </c>
      <c r="E33" s="52" t="s">
        <v>5</v>
      </c>
      <c r="F33" s="81">
        <f>ROUND((SUM(BE139:BE242)),  2)</f>
        <v>0</v>
      </c>
      <c r="I33" s="82">
        <v>0.21</v>
      </c>
      <c r="J33" s="81">
        <f>ROUND(((SUM(BE139:BE242))*I33),  2)</f>
        <v>0</v>
      </c>
      <c r="L33" s="3"/>
    </row>
    <row r="34" spans="2:12" s="2" customFormat="1" ht="14.45" customHeight="1">
      <c r="B34" s="3"/>
      <c r="E34" s="52" t="s">
        <v>422</v>
      </c>
      <c r="F34" s="81">
        <f>ROUND((SUM(BF139:BF242)),  2)</f>
        <v>0</v>
      </c>
      <c r="I34" s="82">
        <v>0.15</v>
      </c>
      <c r="J34" s="81">
        <f>ROUND(((SUM(BF139:BF242))*I34),  2)</f>
        <v>0</v>
      </c>
      <c r="L34" s="3"/>
    </row>
    <row r="35" spans="2:12" s="2" customFormat="1" ht="14.45" hidden="1" customHeight="1">
      <c r="B35" s="3"/>
      <c r="E35" s="52" t="s">
        <v>421</v>
      </c>
      <c r="F35" s="81">
        <f>ROUND((SUM(BG139:BG242)),  2)</f>
        <v>0</v>
      </c>
      <c r="I35" s="82">
        <v>0.21</v>
      </c>
      <c r="J35" s="81">
        <f>0</f>
        <v>0</v>
      </c>
      <c r="L35" s="3"/>
    </row>
    <row r="36" spans="2:12" s="2" customFormat="1" ht="14.45" hidden="1" customHeight="1">
      <c r="B36" s="3"/>
      <c r="E36" s="52" t="s">
        <v>420</v>
      </c>
      <c r="F36" s="81">
        <f>ROUND((SUM(BH139:BH242)),  2)</f>
        <v>0</v>
      </c>
      <c r="I36" s="82">
        <v>0.15</v>
      </c>
      <c r="J36" s="81">
        <f>0</f>
        <v>0</v>
      </c>
      <c r="L36" s="3"/>
    </row>
    <row r="37" spans="2:12" s="2" customFormat="1" ht="14.45" hidden="1" customHeight="1">
      <c r="B37" s="3"/>
      <c r="E37" s="52" t="s">
        <v>419</v>
      </c>
      <c r="F37" s="81">
        <f>ROUND((SUM(BI139:BI242)),  2)</f>
        <v>0</v>
      </c>
      <c r="I37" s="82">
        <v>0</v>
      </c>
      <c r="J37" s="81">
        <f>0</f>
        <v>0</v>
      </c>
      <c r="L37" s="3"/>
    </row>
    <row r="38" spans="2:12" s="2" customFormat="1" ht="6.95" customHeight="1">
      <c r="B38" s="3"/>
      <c r="L38" s="3"/>
    </row>
    <row r="39" spans="2:12" s="2" customFormat="1" ht="25.35" customHeight="1">
      <c r="B39" s="3"/>
      <c r="C39" s="65"/>
      <c r="D39" s="80" t="s">
        <v>418</v>
      </c>
      <c r="E39" s="77"/>
      <c r="F39" s="77"/>
      <c r="G39" s="79" t="s">
        <v>417</v>
      </c>
      <c r="H39" s="78" t="s">
        <v>416</v>
      </c>
      <c r="I39" s="77"/>
      <c r="J39" s="76">
        <f>SUM(J30:J37)</f>
        <v>0</v>
      </c>
      <c r="K39" s="75"/>
      <c r="L39" s="3"/>
    </row>
    <row r="40" spans="2:12" s="2" customFormat="1" ht="14.45" customHeight="1">
      <c r="B40" s="3"/>
      <c r="L40" s="3"/>
    </row>
    <row r="41" spans="2:12" ht="14.45" customHeight="1">
      <c r="B41" s="72"/>
      <c r="L41" s="72"/>
    </row>
    <row r="42" spans="2:12" ht="14.45" customHeight="1">
      <c r="B42" s="72"/>
      <c r="L42" s="72"/>
    </row>
    <row r="43" spans="2:12" ht="14.45" customHeight="1">
      <c r="B43" s="72"/>
      <c r="L43" s="72"/>
    </row>
    <row r="44" spans="2:12" ht="14.45" customHeight="1">
      <c r="B44" s="72"/>
      <c r="L44" s="72"/>
    </row>
    <row r="45" spans="2:12" ht="14.45" customHeight="1">
      <c r="B45" s="72"/>
      <c r="L45" s="72"/>
    </row>
    <row r="46" spans="2:12" ht="14.45" customHeight="1">
      <c r="B46" s="72"/>
      <c r="L46" s="72"/>
    </row>
    <row r="47" spans="2:12" ht="14.45" customHeight="1">
      <c r="B47" s="72"/>
      <c r="L47" s="72"/>
    </row>
    <row r="48" spans="2:12" ht="14.45" customHeight="1">
      <c r="B48" s="72"/>
      <c r="L48" s="72"/>
    </row>
    <row r="49" spans="2:12" ht="14.45" customHeight="1">
      <c r="B49" s="72"/>
      <c r="L49" s="72"/>
    </row>
    <row r="50" spans="2:12" s="2" customFormat="1" ht="14.45" customHeight="1">
      <c r="B50" s="3"/>
      <c r="D50" s="74" t="s">
        <v>415</v>
      </c>
      <c r="E50" s="73"/>
      <c r="F50" s="73"/>
      <c r="G50" s="74" t="s">
        <v>414</v>
      </c>
      <c r="H50" s="73"/>
      <c r="I50" s="73"/>
      <c r="J50" s="73"/>
      <c r="K50" s="73"/>
      <c r="L50" s="3"/>
    </row>
    <row r="51" spans="2:12">
      <c r="B51" s="72"/>
      <c r="L51" s="72"/>
    </row>
    <row r="52" spans="2:12">
      <c r="B52" s="72"/>
      <c r="L52" s="72"/>
    </row>
    <row r="53" spans="2:12">
      <c r="B53" s="72"/>
      <c r="L53" s="72"/>
    </row>
    <row r="54" spans="2:12">
      <c r="B54" s="72"/>
      <c r="L54" s="72"/>
    </row>
    <row r="55" spans="2:12">
      <c r="B55" s="72"/>
      <c r="L55" s="72"/>
    </row>
    <row r="56" spans="2:12">
      <c r="B56" s="72"/>
      <c r="L56" s="72"/>
    </row>
    <row r="57" spans="2:12">
      <c r="B57" s="72"/>
      <c r="L57" s="72"/>
    </row>
    <row r="58" spans="2:12">
      <c r="B58" s="72"/>
      <c r="L58" s="72"/>
    </row>
    <row r="59" spans="2:12">
      <c r="B59" s="72"/>
      <c r="L59" s="72"/>
    </row>
    <row r="60" spans="2:12">
      <c r="B60" s="72"/>
      <c r="L60" s="72"/>
    </row>
    <row r="61" spans="2:12" s="2" customFormat="1" ht="12.75">
      <c r="B61" s="3"/>
      <c r="D61" s="70" t="s">
        <v>411</v>
      </c>
      <c r="E61" s="68"/>
      <c r="F61" s="71" t="s">
        <v>410</v>
      </c>
      <c r="G61" s="70" t="s">
        <v>411</v>
      </c>
      <c r="H61" s="68"/>
      <c r="I61" s="68"/>
      <c r="J61" s="69" t="s">
        <v>410</v>
      </c>
      <c r="K61" s="68"/>
      <c r="L61" s="3"/>
    </row>
    <row r="62" spans="2:12">
      <c r="B62" s="72"/>
      <c r="L62" s="72"/>
    </row>
    <row r="63" spans="2:12">
      <c r="B63" s="72"/>
      <c r="L63" s="72"/>
    </row>
    <row r="64" spans="2:12">
      <c r="B64" s="72"/>
      <c r="L64" s="72"/>
    </row>
    <row r="65" spans="2:12" s="2" customFormat="1" ht="12.75">
      <c r="B65" s="3"/>
      <c r="D65" s="74" t="s">
        <v>413</v>
      </c>
      <c r="E65" s="73"/>
      <c r="F65" s="73"/>
      <c r="G65" s="74" t="s">
        <v>412</v>
      </c>
      <c r="H65" s="73"/>
      <c r="I65" s="73"/>
      <c r="J65" s="73"/>
      <c r="K65" s="73"/>
      <c r="L65" s="3"/>
    </row>
    <row r="66" spans="2:12">
      <c r="B66" s="72"/>
      <c r="L66" s="72"/>
    </row>
    <row r="67" spans="2:12">
      <c r="B67" s="72"/>
      <c r="L67" s="72"/>
    </row>
    <row r="68" spans="2:12">
      <c r="B68" s="72"/>
      <c r="L68" s="72"/>
    </row>
    <row r="69" spans="2:12">
      <c r="B69" s="72"/>
      <c r="L69" s="72"/>
    </row>
    <row r="70" spans="2:12">
      <c r="B70" s="72"/>
      <c r="L70" s="72"/>
    </row>
    <row r="71" spans="2:12">
      <c r="B71" s="72"/>
      <c r="L71" s="72"/>
    </row>
    <row r="72" spans="2:12">
      <c r="B72" s="72"/>
      <c r="L72" s="72"/>
    </row>
    <row r="73" spans="2:12">
      <c r="B73" s="72"/>
      <c r="L73" s="72"/>
    </row>
    <row r="74" spans="2:12">
      <c r="B74" s="72"/>
      <c r="L74" s="72"/>
    </row>
    <row r="75" spans="2:12">
      <c r="B75" s="72"/>
      <c r="L75" s="72"/>
    </row>
    <row r="76" spans="2:12" s="2" customFormat="1" ht="12.75">
      <c r="B76" s="3"/>
      <c r="D76" s="70" t="s">
        <v>411</v>
      </c>
      <c r="E76" s="68"/>
      <c r="F76" s="71" t="s">
        <v>410</v>
      </c>
      <c r="G76" s="70" t="s">
        <v>411</v>
      </c>
      <c r="H76" s="68"/>
      <c r="I76" s="68"/>
      <c r="J76" s="69" t="s">
        <v>410</v>
      </c>
      <c r="K76" s="68"/>
      <c r="L76" s="3"/>
    </row>
    <row r="77" spans="2:12" s="2" customFormat="1" ht="14.45" customHeight="1">
      <c r="B77" s="5"/>
      <c r="C77" s="4"/>
      <c r="D77" s="4"/>
      <c r="E77" s="4"/>
      <c r="F77" s="4"/>
      <c r="G77" s="4"/>
      <c r="H77" s="4"/>
      <c r="I77" s="4"/>
      <c r="J77" s="4"/>
      <c r="K77" s="4"/>
      <c r="L77" s="3"/>
    </row>
    <row r="81" spans="2:47" s="2" customFormat="1" ht="6.95" customHeight="1">
      <c r="B81" s="57"/>
      <c r="C81" s="56"/>
      <c r="D81" s="56"/>
      <c r="E81" s="56"/>
      <c r="F81" s="56"/>
      <c r="G81" s="56"/>
      <c r="H81" s="56"/>
      <c r="I81" s="56"/>
      <c r="J81" s="56"/>
      <c r="K81" s="56"/>
      <c r="L81" s="3"/>
    </row>
    <row r="82" spans="2:47" s="2" customFormat="1" ht="24.95" customHeight="1">
      <c r="B82" s="3"/>
      <c r="C82" s="55" t="s">
        <v>409</v>
      </c>
      <c r="L82" s="3"/>
    </row>
    <row r="83" spans="2:47" s="2" customFormat="1" ht="6.95" customHeight="1">
      <c r="B83" s="3"/>
      <c r="L83" s="3"/>
    </row>
    <row r="84" spans="2:47" s="2" customFormat="1" ht="12" customHeight="1">
      <c r="B84" s="3"/>
      <c r="C84" s="52" t="s">
        <v>395</v>
      </c>
      <c r="L84" s="3"/>
    </row>
    <row r="85" spans="2:47" s="2" customFormat="1" ht="26.25" customHeight="1">
      <c r="B85" s="3"/>
      <c r="E85" s="258" t="str">
        <f>E7</f>
        <v>Realizace úspor energie, areál NPK, a.s. Správní budova v Litomyšli - rekuperace (aktualizace 08/2022)</v>
      </c>
      <c r="F85" s="259"/>
      <c r="G85" s="259"/>
      <c r="H85" s="259"/>
      <c r="L85" s="3"/>
    </row>
    <row r="86" spans="2:47" s="2" customFormat="1" ht="12" customHeight="1">
      <c r="B86" s="3"/>
      <c r="C86" s="52" t="s">
        <v>394</v>
      </c>
      <c r="L86" s="3"/>
    </row>
    <row r="87" spans="2:47" s="2" customFormat="1" ht="16.5" customHeight="1">
      <c r="B87" s="3"/>
      <c r="E87" s="256" t="str">
        <f>E9</f>
        <v>D.1.4.4 - MĚŘENÍ A REGULACE</v>
      </c>
      <c r="F87" s="257"/>
      <c r="G87" s="257"/>
      <c r="H87" s="257"/>
      <c r="L87" s="3"/>
    </row>
    <row r="88" spans="2:47" s="2" customFormat="1" ht="6.95" customHeight="1">
      <c r="B88" s="3"/>
      <c r="L88" s="3"/>
    </row>
    <row r="89" spans="2:47" s="2" customFormat="1" ht="12" customHeight="1">
      <c r="B89" s="3"/>
      <c r="C89" s="52" t="s">
        <v>393</v>
      </c>
      <c r="F89" s="53" t="str">
        <f>F12</f>
        <v>Litomyšl</v>
      </c>
      <c r="I89" s="52" t="s">
        <v>392</v>
      </c>
      <c r="J89" s="54" t="str">
        <f>IF(J12="","",J12)</f>
        <v>1. 8. 2022</v>
      </c>
      <c r="L89" s="3"/>
    </row>
    <row r="90" spans="2:47" s="2" customFormat="1" ht="6.95" customHeight="1">
      <c r="B90" s="3"/>
      <c r="L90" s="3"/>
    </row>
    <row r="91" spans="2:47" s="2" customFormat="1" ht="15.2" customHeight="1">
      <c r="B91" s="3"/>
      <c r="C91" s="52" t="s">
        <v>391</v>
      </c>
      <c r="F91" s="53" t="str">
        <f>E15</f>
        <v>Pardubický kraj,Komenského n.125,532 11 Pardubice</v>
      </c>
      <c r="I91" s="52" t="s">
        <v>390</v>
      </c>
      <c r="J91" s="51" t="str">
        <f>E21</f>
        <v>K I P spol. s r. o.</v>
      </c>
      <c r="L91" s="3"/>
    </row>
    <row r="92" spans="2:47" s="2" customFormat="1" ht="15.2" customHeight="1">
      <c r="B92" s="3"/>
      <c r="C92" s="52" t="s">
        <v>389</v>
      </c>
      <c r="F92" s="53" t="str">
        <f>IF(E18="","",E18)</f>
        <v>Vyplň údaj</v>
      </c>
      <c r="I92" s="52" t="s">
        <v>388</v>
      </c>
      <c r="J92" s="51" t="str">
        <f>E24</f>
        <v xml:space="preserve"> </v>
      </c>
      <c r="L92" s="3"/>
    </row>
    <row r="93" spans="2:47" s="2" customFormat="1" ht="10.35" customHeight="1">
      <c r="B93" s="3"/>
      <c r="L93" s="3"/>
    </row>
    <row r="94" spans="2:47" s="2" customFormat="1" ht="29.25" customHeight="1">
      <c r="B94" s="3"/>
      <c r="C94" s="67" t="s">
        <v>408</v>
      </c>
      <c r="D94" s="65"/>
      <c r="E94" s="65"/>
      <c r="F94" s="65"/>
      <c r="G94" s="65"/>
      <c r="H94" s="65"/>
      <c r="I94" s="65"/>
      <c r="J94" s="66" t="s">
        <v>380</v>
      </c>
      <c r="K94" s="65"/>
      <c r="L94" s="3"/>
    </row>
    <row r="95" spans="2:47" s="2" customFormat="1" ht="10.35" customHeight="1">
      <c r="B95" s="3"/>
      <c r="L95" s="3"/>
    </row>
    <row r="96" spans="2:47" s="2" customFormat="1" ht="22.9" customHeight="1">
      <c r="B96" s="3"/>
      <c r="C96" s="64" t="s">
        <v>407</v>
      </c>
      <c r="J96" s="63">
        <f>J139</f>
        <v>0</v>
      </c>
      <c r="L96" s="3"/>
      <c r="AU96" s="7" t="s">
        <v>370</v>
      </c>
    </row>
    <row r="97" spans="2:12" s="58" customFormat="1" ht="24.95" customHeight="1">
      <c r="B97" s="59"/>
      <c r="D97" s="62" t="s">
        <v>648</v>
      </c>
      <c r="E97" s="61"/>
      <c r="F97" s="61"/>
      <c r="G97" s="61"/>
      <c r="H97" s="61"/>
      <c r="I97" s="61"/>
      <c r="J97" s="60">
        <f>J140</f>
        <v>0</v>
      </c>
      <c r="L97" s="59"/>
    </row>
    <row r="98" spans="2:12" s="101" customFormat="1" ht="19.899999999999999" customHeight="1">
      <c r="B98" s="102"/>
      <c r="D98" s="105" t="s">
        <v>645</v>
      </c>
      <c r="E98" s="104"/>
      <c r="F98" s="104"/>
      <c r="G98" s="104"/>
      <c r="H98" s="104"/>
      <c r="I98" s="104"/>
      <c r="J98" s="103">
        <f>J143</f>
        <v>0</v>
      </c>
      <c r="L98" s="102"/>
    </row>
    <row r="99" spans="2:12" s="101" customFormat="1" ht="19.899999999999999" customHeight="1">
      <c r="B99" s="102"/>
      <c r="D99" s="105" t="s">
        <v>647</v>
      </c>
      <c r="E99" s="104"/>
      <c r="F99" s="104"/>
      <c r="G99" s="104"/>
      <c r="H99" s="104"/>
      <c r="I99" s="104"/>
      <c r="J99" s="103">
        <f>J146</f>
        <v>0</v>
      </c>
      <c r="L99" s="102"/>
    </row>
    <row r="100" spans="2:12" s="58" customFormat="1" ht="24.95" customHeight="1">
      <c r="B100" s="59"/>
      <c r="D100" s="62" t="s">
        <v>646</v>
      </c>
      <c r="E100" s="61"/>
      <c r="F100" s="61"/>
      <c r="G100" s="61"/>
      <c r="H100" s="61"/>
      <c r="I100" s="61"/>
      <c r="J100" s="60">
        <f>J162</f>
        <v>0</v>
      </c>
      <c r="L100" s="59"/>
    </row>
    <row r="101" spans="2:12" s="101" customFormat="1" ht="19.899999999999999" customHeight="1">
      <c r="B101" s="102"/>
      <c r="D101" s="105" t="s">
        <v>645</v>
      </c>
      <c r="E101" s="104"/>
      <c r="F101" s="104"/>
      <c r="G101" s="104"/>
      <c r="H101" s="104"/>
      <c r="I101" s="104"/>
      <c r="J101" s="103">
        <f>J166</f>
        <v>0</v>
      </c>
      <c r="L101" s="102"/>
    </row>
    <row r="102" spans="2:12" s="101" customFormat="1" ht="19.899999999999999" customHeight="1">
      <c r="B102" s="102"/>
      <c r="D102" s="105" t="s">
        <v>644</v>
      </c>
      <c r="E102" s="104"/>
      <c r="F102" s="104"/>
      <c r="G102" s="104"/>
      <c r="H102" s="104"/>
      <c r="I102" s="104"/>
      <c r="J102" s="103">
        <f>J169</f>
        <v>0</v>
      </c>
      <c r="L102" s="102"/>
    </row>
    <row r="103" spans="2:12" s="101" customFormat="1" ht="19.899999999999999" customHeight="1">
      <c r="B103" s="102"/>
      <c r="D103" s="105" t="s">
        <v>643</v>
      </c>
      <c r="E103" s="104"/>
      <c r="F103" s="104"/>
      <c r="G103" s="104"/>
      <c r="H103" s="104"/>
      <c r="I103" s="104"/>
      <c r="J103" s="103">
        <f>J184</f>
        <v>0</v>
      </c>
      <c r="L103" s="102"/>
    </row>
    <row r="104" spans="2:12" s="101" customFormat="1" ht="19.899999999999999" customHeight="1">
      <c r="B104" s="102"/>
      <c r="D104" s="105" t="s">
        <v>642</v>
      </c>
      <c r="E104" s="104"/>
      <c r="F104" s="104"/>
      <c r="G104" s="104"/>
      <c r="H104" s="104"/>
      <c r="I104" s="104"/>
      <c r="J104" s="103">
        <f>J193</f>
        <v>0</v>
      </c>
      <c r="L104" s="102"/>
    </row>
    <row r="105" spans="2:12" s="58" customFormat="1" ht="24.95" customHeight="1">
      <c r="B105" s="59"/>
      <c r="D105" s="62" t="s">
        <v>641</v>
      </c>
      <c r="E105" s="61"/>
      <c r="F105" s="61"/>
      <c r="G105" s="61"/>
      <c r="H105" s="61"/>
      <c r="I105" s="61"/>
      <c r="J105" s="60">
        <f>J199</f>
        <v>0</v>
      </c>
      <c r="L105" s="59"/>
    </row>
    <row r="106" spans="2:12" s="101" customFormat="1" ht="19.899999999999999" customHeight="1">
      <c r="B106" s="102"/>
      <c r="D106" s="105" t="s">
        <v>640</v>
      </c>
      <c r="E106" s="104"/>
      <c r="F106" s="104"/>
      <c r="G106" s="104"/>
      <c r="H106" s="104"/>
      <c r="I106" s="104"/>
      <c r="J106" s="103">
        <f>J200</f>
        <v>0</v>
      </c>
      <c r="L106" s="102"/>
    </row>
    <row r="107" spans="2:12" s="101" customFormat="1" ht="19.899999999999999" customHeight="1">
      <c r="B107" s="102"/>
      <c r="D107" s="105" t="s">
        <v>639</v>
      </c>
      <c r="E107" s="104"/>
      <c r="F107" s="104"/>
      <c r="G107" s="104"/>
      <c r="H107" s="104"/>
      <c r="I107" s="104"/>
      <c r="J107" s="103">
        <f>J202</f>
        <v>0</v>
      </c>
      <c r="L107" s="102"/>
    </row>
    <row r="108" spans="2:12" s="101" customFormat="1" ht="19.899999999999999" customHeight="1">
      <c r="B108" s="102"/>
      <c r="D108" s="105" t="s">
        <v>638</v>
      </c>
      <c r="E108" s="104"/>
      <c r="F108" s="104"/>
      <c r="G108" s="104"/>
      <c r="H108" s="104"/>
      <c r="I108" s="104"/>
      <c r="J108" s="103">
        <f>J204</f>
        <v>0</v>
      </c>
      <c r="L108" s="102"/>
    </row>
    <row r="109" spans="2:12" s="101" customFormat="1" ht="19.899999999999999" customHeight="1">
      <c r="B109" s="102"/>
      <c r="D109" s="105" t="s">
        <v>637</v>
      </c>
      <c r="E109" s="104"/>
      <c r="F109" s="104"/>
      <c r="G109" s="104"/>
      <c r="H109" s="104"/>
      <c r="I109" s="104"/>
      <c r="J109" s="103">
        <f>J207</f>
        <v>0</v>
      </c>
      <c r="L109" s="102"/>
    </row>
    <row r="110" spans="2:12" s="101" customFormat="1" ht="19.899999999999999" customHeight="1">
      <c r="B110" s="102"/>
      <c r="D110" s="105" t="s">
        <v>636</v>
      </c>
      <c r="E110" s="104"/>
      <c r="F110" s="104"/>
      <c r="G110" s="104"/>
      <c r="H110" s="104"/>
      <c r="I110" s="104"/>
      <c r="J110" s="103">
        <f>J211</f>
        <v>0</v>
      </c>
      <c r="L110" s="102"/>
    </row>
    <row r="111" spans="2:12" s="101" customFormat="1" ht="19.899999999999999" customHeight="1">
      <c r="B111" s="102"/>
      <c r="D111" s="105" t="s">
        <v>635</v>
      </c>
      <c r="E111" s="104"/>
      <c r="F111" s="104"/>
      <c r="G111" s="104"/>
      <c r="H111" s="104"/>
      <c r="I111" s="104"/>
      <c r="J111" s="103">
        <f>J214</f>
        <v>0</v>
      </c>
      <c r="L111" s="102"/>
    </row>
    <row r="112" spans="2:12" s="101" customFormat="1" ht="19.899999999999999" customHeight="1">
      <c r="B112" s="102"/>
      <c r="D112" s="105" t="s">
        <v>634</v>
      </c>
      <c r="E112" s="104"/>
      <c r="F112" s="104"/>
      <c r="G112" s="104"/>
      <c r="H112" s="104"/>
      <c r="I112" s="104"/>
      <c r="J112" s="103">
        <f>J216</f>
        <v>0</v>
      </c>
      <c r="L112" s="102"/>
    </row>
    <row r="113" spans="2:12" s="101" customFormat="1" ht="19.899999999999999" customHeight="1">
      <c r="B113" s="102"/>
      <c r="D113" s="105" t="s">
        <v>633</v>
      </c>
      <c r="E113" s="104"/>
      <c r="F113" s="104"/>
      <c r="G113" s="104"/>
      <c r="H113" s="104"/>
      <c r="I113" s="104"/>
      <c r="J113" s="103">
        <f>J219</f>
        <v>0</v>
      </c>
      <c r="L113" s="102"/>
    </row>
    <row r="114" spans="2:12" s="101" customFormat="1" ht="19.899999999999999" customHeight="1">
      <c r="B114" s="102"/>
      <c r="D114" s="105" t="s">
        <v>632</v>
      </c>
      <c r="E114" s="104"/>
      <c r="F114" s="104"/>
      <c r="G114" s="104"/>
      <c r="H114" s="104"/>
      <c r="I114" s="104"/>
      <c r="J114" s="103">
        <f>J221</f>
        <v>0</v>
      </c>
      <c r="L114" s="102"/>
    </row>
    <row r="115" spans="2:12" s="101" customFormat="1" ht="19.899999999999999" customHeight="1">
      <c r="B115" s="102"/>
      <c r="D115" s="105" t="s">
        <v>631</v>
      </c>
      <c r="E115" s="104"/>
      <c r="F115" s="104"/>
      <c r="G115" s="104"/>
      <c r="H115" s="104"/>
      <c r="I115" s="104"/>
      <c r="J115" s="103">
        <f>J223</f>
        <v>0</v>
      </c>
      <c r="L115" s="102"/>
    </row>
    <row r="116" spans="2:12" s="101" customFormat="1" ht="19.899999999999999" customHeight="1">
      <c r="B116" s="102"/>
      <c r="D116" s="105" t="s">
        <v>630</v>
      </c>
      <c r="E116" s="104"/>
      <c r="F116" s="104"/>
      <c r="G116" s="104"/>
      <c r="H116" s="104"/>
      <c r="I116" s="104"/>
      <c r="J116" s="103">
        <f>J234</f>
        <v>0</v>
      </c>
      <c r="L116" s="102"/>
    </row>
    <row r="117" spans="2:12" s="101" customFormat="1" ht="19.899999999999999" customHeight="1">
      <c r="B117" s="102"/>
      <c r="D117" s="105" t="s">
        <v>629</v>
      </c>
      <c r="E117" s="104"/>
      <c r="F117" s="104"/>
      <c r="G117" s="104"/>
      <c r="H117" s="104"/>
      <c r="I117" s="104"/>
      <c r="J117" s="103">
        <f>J236</f>
        <v>0</v>
      </c>
      <c r="L117" s="102"/>
    </row>
    <row r="118" spans="2:12" s="101" customFormat="1" ht="19.899999999999999" customHeight="1">
      <c r="B118" s="102"/>
      <c r="D118" s="105" t="s">
        <v>628</v>
      </c>
      <c r="E118" s="104"/>
      <c r="F118" s="104"/>
      <c r="G118" s="104"/>
      <c r="H118" s="104"/>
      <c r="I118" s="104"/>
      <c r="J118" s="103">
        <f>J238</f>
        <v>0</v>
      </c>
      <c r="L118" s="102"/>
    </row>
    <row r="119" spans="2:12" s="101" customFormat="1" ht="19.899999999999999" customHeight="1">
      <c r="B119" s="102"/>
      <c r="D119" s="105" t="s">
        <v>627</v>
      </c>
      <c r="E119" s="104"/>
      <c r="F119" s="104"/>
      <c r="G119" s="104"/>
      <c r="H119" s="104"/>
      <c r="I119" s="104"/>
      <c r="J119" s="103">
        <f>J240</f>
        <v>0</v>
      </c>
      <c r="L119" s="102"/>
    </row>
    <row r="120" spans="2:12" s="2" customFormat="1" ht="21.75" customHeight="1">
      <c r="B120" s="3"/>
      <c r="L120" s="3"/>
    </row>
    <row r="121" spans="2:12" s="2" customFormat="1" ht="6.95" customHeight="1">
      <c r="B121" s="5"/>
      <c r="C121" s="4"/>
      <c r="D121" s="4"/>
      <c r="E121" s="4"/>
      <c r="F121" s="4"/>
      <c r="G121" s="4"/>
      <c r="H121" s="4"/>
      <c r="I121" s="4"/>
      <c r="J121" s="4"/>
      <c r="K121" s="4"/>
      <c r="L121" s="3"/>
    </row>
    <row r="125" spans="2:12" s="2" customFormat="1" ht="6.95" customHeight="1">
      <c r="B125" s="57"/>
      <c r="C125" s="56"/>
      <c r="D125" s="56"/>
      <c r="E125" s="56"/>
      <c r="F125" s="56"/>
      <c r="G125" s="56"/>
      <c r="H125" s="56"/>
      <c r="I125" s="56"/>
      <c r="J125" s="56"/>
      <c r="K125" s="56"/>
      <c r="L125" s="3"/>
    </row>
    <row r="126" spans="2:12" s="2" customFormat="1" ht="24.95" customHeight="1">
      <c r="B126" s="3"/>
      <c r="C126" s="55" t="s">
        <v>396</v>
      </c>
      <c r="L126" s="3"/>
    </row>
    <row r="127" spans="2:12" s="2" customFormat="1" ht="6.95" customHeight="1">
      <c r="B127" s="3"/>
      <c r="L127" s="3"/>
    </row>
    <row r="128" spans="2:12" s="2" customFormat="1" ht="12" customHeight="1">
      <c r="B128" s="3"/>
      <c r="C128" s="52" t="s">
        <v>395</v>
      </c>
      <c r="L128" s="3"/>
    </row>
    <row r="129" spans="2:65" s="2" customFormat="1" ht="26.25" customHeight="1">
      <c r="B129" s="3"/>
      <c r="E129" s="258" t="str">
        <f>E7</f>
        <v>Realizace úspor energie, areál NPK, a.s. Správní budova v Litomyšli - rekuperace (aktualizace 08/2022)</v>
      </c>
      <c r="F129" s="259"/>
      <c r="G129" s="259"/>
      <c r="H129" s="259"/>
      <c r="L129" s="3"/>
    </row>
    <row r="130" spans="2:65" s="2" customFormat="1" ht="12" customHeight="1">
      <c r="B130" s="3"/>
      <c r="C130" s="52" t="s">
        <v>394</v>
      </c>
      <c r="L130" s="3"/>
    </row>
    <row r="131" spans="2:65" s="2" customFormat="1" ht="16.5" customHeight="1">
      <c r="B131" s="3"/>
      <c r="E131" s="256" t="str">
        <f>E9</f>
        <v>D.1.4.4 - MĚŘENÍ A REGULACE</v>
      </c>
      <c r="F131" s="257"/>
      <c r="G131" s="257"/>
      <c r="H131" s="257"/>
      <c r="L131" s="3"/>
    </row>
    <row r="132" spans="2:65" s="2" customFormat="1" ht="6.95" customHeight="1">
      <c r="B132" s="3"/>
      <c r="L132" s="3"/>
    </row>
    <row r="133" spans="2:65" s="2" customFormat="1" ht="12" customHeight="1">
      <c r="B133" s="3"/>
      <c r="C133" s="52" t="s">
        <v>393</v>
      </c>
      <c r="F133" s="53" t="str">
        <f>F12</f>
        <v>Litomyšl</v>
      </c>
      <c r="I133" s="52" t="s">
        <v>392</v>
      </c>
      <c r="J133" s="54" t="str">
        <f>IF(J12="","",J12)</f>
        <v>1. 8. 2022</v>
      </c>
      <c r="L133" s="3"/>
    </row>
    <row r="134" spans="2:65" s="2" customFormat="1" ht="6.95" customHeight="1">
      <c r="B134" s="3"/>
      <c r="L134" s="3"/>
    </row>
    <row r="135" spans="2:65" s="2" customFormat="1" ht="15.2" customHeight="1">
      <c r="B135" s="3"/>
      <c r="C135" s="52" t="s">
        <v>391</v>
      </c>
      <c r="F135" s="53" t="str">
        <f>E15</f>
        <v>Pardubický kraj,Komenského n.125,532 11 Pardubice</v>
      </c>
      <c r="I135" s="52" t="s">
        <v>390</v>
      </c>
      <c r="J135" s="51" t="str">
        <f>E21</f>
        <v>K I P spol. s r. o.</v>
      </c>
      <c r="L135" s="3"/>
    </row>
    <row r="136" spans="2:65" s="2" customFormat="1" ht="15.2" customHeight="1">
      <c r="B136" s="3"/>
      <c r="C136" s="52" t="s">
        <v>389</v>
      </c>
      <c r="F136" s="53" t="str">
        <f>IF(E18="","",E18)</f>
        <v>Vyplň údaj</v>
      </c>
      <c r="I136" s="52" t="s">
        <v>388</v>
      </c>
      <c r="J136" s="51" t="str">
        <f>E24</f>
        <v xml:space="preserve"> </v>
      </c>
      <c r="L136" s="3"/>
    </row>
    <row r="137" spans="2:65" s="2" customFormat="1" ht="10.35" customHeight="1">
      <c r="B137" s="3"/>
      <c r="L137" s="3"/>
    </row>
    <row r="138" spans="2:65" s="43" customFormat="1" ht="29.25" customHeight="1">
      <c r="B138" s="47"/>
      <c r="C138" s="50" t="s">
        <v>387</v>
      </c>
      <c r="D138" s="49" t="s">
        <v>386</v>
      </c>
      <c r="E138" s="49" t="s">
        <v>385</v>
      </c>
      <c r="F138" s="49" t="s">
        <v>384</v>
      </c>
      <c r="G138" s="49" t="s">
        <v>383</v>
      </c>
      <c r="H138" s="49" t="s">
        <v>382</v>
      </c>
      <c r="I138" s="49" t="s">
        <v>381</v>
      </c>
      <c r="J138" s="49" t="s">
        <v>380</v>
      </c>
      <c r="K138" s="48" t="s">
        <v>379</v>
      </c>
      <c r="L138" s="47"/>
      <c r="M138" s="46" t="s">
        <v>6</v>
      </c>
      <c r="N138" s="45" t="s">
        <v>378</v>
      </c>
      <c r="O138" s="45" t="s">
        <v>377</v>
      </c>
      <c r="P138" s="45" t="s">
        <v>376</v>
      </c>
      <c r="Q138" s="45" t="s">
        <v>375</v>
      </c>
      <c r="R138" s="45" t="s">
        <v>374</v>
      </c>
      <c r="S138" s="45" t="s">
        <v>373</v>
      </c>
      <c r="T138" s="44" t="s">
        <v>372</v>
      </c>
    </row>
    <row r="139" spans="2:65" s="2" customFormat="1" ht="22.9" customHeight="1">
      <c r="B139" s="3"/>
      <c r="C139" s="42" t="s">
        <v>371</v>
      </c>
      <c r="J139" s="41">
        <f>BK139</f>
        <v>0</v>
      </c>
      <c r="L139" s="3"/>
      <c r="M139" s="40"/>
      <c r="N139" s="38"/>
      <c r="O139" s="38"/>
      <c r="P139" s="39">
        <f>P140+P162+P199</f>
        <v>0</v>
      </c>
      <c r="Q139" s="38"/>
      <c r="R139" s="39">
        <f>R140+R162+R199</f>
        <v>0</v>
      </c>
      <c r="S139" s="38"/>
      <c r="T139" s="37">
        <f>T140+T162+T199</f>
        <v>0</v>
      </c>
      <c r="AT139" s="7" t="s">
        <v>26</v>
      </c>
      <c r="AU139" s="7" t="s">
        <v>370</v>
      </c>
      <c r="BK139" s="36">
        <f>BK140+BK162+BK199</f>
        <v>0</v>
      </c>
    </row>
    <row r="140" spans="2:65" s="25" customFormat="1" ht="25.9" customHeight="1">
      <c r="B140" s="32"/>
      <c r="D140" s="27" t="s">
        <v>26</v>
      </c>
      <c r="E140" s="35" t="s">
        <v>117</v>
      </c>
      <c r="F140" s="35" t="s">
        <v>626</v>
      </c>
      <c r="I140" s="34"/>
      <c r="J140" s="33">
        <f>BK140</f>
        <v>0</v>
      </c>
      <c r="L140" s="32"/>
      <c r="M140" s="31"/>
      <c r="P140" s="30">
        <f>P141+P142+P143+P146</f>
        <v>0</v>
      </c>
      <c r="R140" s="30">
        <f>R141+R142+R143+R146</f>
        <v>0</v>
      </c>
      <c r="T140" s="29">
        <f>T141+T142+T143+T146</f>
        <v>0</v>
      </c>
      <c r="AR140" s="27" t="s">
        <v>2</v>
      </c>
      <c r="AT140" s="28" t="s">
        <v>26</v>
      </c>
      <c r="AU140" s="28" t="s">
        <v>25</v>
      </c>
      <c r="AY140" s="27" t="s">
        <v>3</v>
      </c>
      <c r="BK140" s="26">
        <f>BK141+BK142+BK143+BK146</f>
        <v>0</v>
      </c>
    </row>
    <row r="141" spans="2:65" s="2" customFormat="1" ht="24.2" customHeight="1">
      <c r="B141" s="3"/>
      <c r="C141" s="20" t="s">
        <v>2</v>
      </c>
      <c r="D141" s="20" t="s">
        <v>4</v>
      </c>
      <c r="E141" s="19" t="s">
        <v>625</v>
      </c>
      <c r="F141" s="14" t="s">
        <v>624</v>
      </c>
      <c r="G141" s="18" t="s">
        <v>8</v>
      </c>
      <c r="H141" s="17">
        <v>1</v>
      </c>
      <c r="I141" s="16"/>
      <c r="J141" s="15">
        <f>ROUND(I141*H141,2)</f>
        <v>0</v>
      </c>
      <c r="K141" s="14" t="s">
        <v>7</v>
      </c>
      <c r="L141" s="3"/>
      <c r="M141" s="24" t="s">
        <v>6</v>
      </c>
      <c r="N141" s="23" t="s">
        <v>5</v>
      </c>
      <c r="P141" s="22">
        <f>O141*H141</f>
        <v>0</v>
      </c>
      <c r="Q141" s="22">
        <v>0</v>
      </c>
      <c r="R141" s="22">
        <f>Q141*H141</f>
        <v>0</v>
      </c>
      <c r="S141" s="22">
        <v>0</v>
      </c>
      <c r="T141" s="21">
        <f>S141*H141</f>
        <v>0</v>
      </c>
      <c r="AR141" s="6" t="s">
        <v>1</v>
      </c>
      <c r="AT141" s="6" t="s">
        <v>4</v>
      </c>
      <c r="AU141" s="6" t="s">
        <v>2</v>
      </c>
      <c r="AY141" s="7" t="s">
        <v>3</v>
      </c>
      <c r="BE141" s="8">
        <f>IF(N141="základní",J141,0)</f>
        <v>0</v>
      </c>
      <c r="BF141" s="8">
        <f>IF(N141="snížená",J141,0)</f>
        <v>0</v>
      </c>
      <c r="BG141" s="8">
        <f>IF(N141="zákl. přenesená",J141,0)</f>
        <v>0</v>
      </c>
      <c r="BH141" s="8">
        <f>IF(N141="sníž. přenesená",J141,0)</f>
        <v>0</v>
      </c>
      <c r="BI141" s="8">
        <f>IF(N141="nulová",J141,0)</f>
        <v>0</v>
      </c>
      <c r="BJ141" s="7" t="s">
        <v>2</v>
      </c>
      <c r="BK141" s="8">
        <f>ROUND(I141*H141,2)</f>
        <v>0</v>
      </c>
      <c r="BL141" s="7" t="s">
        <v>1</v>
      </c>
      <c r="BM141" s="6" t="s">
        <v>365</v>
      </c>
    </row>
    <row r="142" spans="2:65" s="2" customFormat="1" ht="87.75">
      <c r="B142" s="3"/>
      <c r="D142" s="96" t="s">
        <v>442</v>
      </c>
      <c r="F142" s="95" t="s">
        <v>623</v>
      </c>
      <c r="I142" s="94"/>
      <c r="L142" s="3"/>
      <c r="M142" s="100"/>
      <c r="T142" s="99"/>
      <c r="AT142" s="7" t="s">
        <v>442</v>
      </c>
      <c r="AU142" s="7" t="s">
        <v>2</v>
      </c>
    </row>
    <row r="143" spans="2:65" s="25" customFormat="1" ht="22.9" customHeight="1">
      <c r="B143" s="32"/>
      <c r="D143" s="27" t="s">
        <v>26</v>
      </c>
      <c r="E143" s="98" t="s">
        <v>596</v>
      </c>
      <c r="F143" s="98" t="s">
        <v>595</v>
      </c>
      <c r="I143" s="34"/>
      <c r="J143" s="97">
        <f>BK143</f>
        <v>0</v>
      </c>
      <c r="L143" s="32"/>
      <c r="M143" s="31"/>
      <c r="P143" s="30">
        <f>SUM(P144:P145)</f>
        <v>0</v>
      </c>
      <c r="R143" s="30">
        <f>SUM(R144:R145)</f>
        <v>0</v>
      </c>
      <c r="T143" s="29">
        <f>SUM(T144:T145)</f>
        <v>0</v>
      </c>
      <c r="AR143" s="27" t="s">
        <v>2</v>
      </c>
      <c r="AT143" s="28" t="s">
        <v>26</v>
      </c>
      <c r="AU143" s="28" t="s">
        <v>2</v>
      </c>
      <c r="AY143" s="27" t="s">
        <v>3</v>
      </c>
      <c r="BK143" s="26">
        <f>SUM(BK144:BK145)</f>
        <v>0</v>
      </c>
    </row>
    <row r="144" spans="2:65" s="2" customFormat="1" ht="24.2" customHeight="1">
      <c r="B144" s="3"/>
      <c r="C144" s="20" t="s">
        <v>365</v>
      </c>
      <c r="D144" s="20" t="s">
        <v>4</v>
      </c>
      <c r="E144" s="19" t="s">
        <v>622</v>
      </c>
      <c r="F144" s="14" t="s">
        <v>621</v>
      </c>
      <c r="G144" s="18" t="s">
        <v>8</v>
      </c>
      <c r="H144" s="17">
        <v>2</v>
      </c>
      <c r="I144" s="16"/>
      <c r="J144" s="15">
        <f>ROUND(I144*H144,2)</f>
        <v>0</v>
      </c>
      <c r="K144" s="14" t="s">
        <v>7</v>
      </c>
      <c r="L144" s="3"/>
      <c r="M144" s="24" t="s">
        <v>6</v>
      </c>
      <c r="N144" s="23" t="s">
        <v>5</v>
      </c>
      <c r="P144" s="22">
        <f>O144*H144</f>
        <v>0</v>
      </c>
      <c r="Q144" s="22">
        <v>0</v>
      </c>
      <c r="R144" s="22">
        <f>Q144*H144</f>
        <v>0</v>
      </c>
      <c r="S144" s="22">
        <v>0</v>
      </c>
      <c r="T144" s="21">
        <f>S144*H144</f>
        <v>0</v>
      </c>
      <c r="AR144" s="6" t="s">
        <v>1</v>
      </c>
      <c r="AT144" s="6" t="s">
        <v>4</v>
      </c>
      <c r="AU144" s="6" t="s">
        <v>365</v>
      </c>
      <c r="AY144" s="7" t="s">
        <v>3</v>
      </c>
      <c r="BE144" s="8">
        <f>IF(N144="základní",J144,0)</f>
        <v>0</v>
      </c>
      <c r="BF144" s="8">
        <f>IF(N144="snížená",J144,0)</f>
        <v>0</v>
      </c>
      <c r="BG144" s="8">
        <f>IF(N144="zákl. přenesená",J144,0)</f>
        <v>0</v>
      </c>
      <c r="BH144" s="8">
        <f>IF(N144="sníž. přenesená",J144,0)</f>
        <v>0</v>
      </c>
      <c r="BI144" s="8">
        <f>IF(N144="nulová",J144,0)</f>
        <v>0</v>
      </c>
      <c r="BJ144" s="7" t="s">
        <v>2</v>
      </c>
      <c r="BK144" s="8">
        <f>ROUND(I144*H144,2)</f>
        <v>0</v>
      </c>
      <c r="BL144" s="7" t="s">
        <v>1</v>
      </c>
      <c r="BM144" s="6" t="s">
        <v>1</v>
      </c>
    </row>
    <row r="145" spans="2:65" s="2" customFormat="1" ht="39">
      <c r="B145" s="3"/>
      <c r="D145" s="96" t="s">
        <v>442</v>
      </c>
      <c r="F145" s="95" t="s">
        <v>620</v>
      </c>
      <c r="I145" s="94"/>
      <c r="L145" s="3"/>
      <c r="M145" s="100"/>
      <c r="T145" s="99"/>
      <c r="AT145" s="7" t="s">
        <v>442</v>
      </c>
      <c r="AU145" s="7" t="s">
        <v>365</v>
      </c>
    </row>
    <row r="146" spans="2:65" s="25" customFormat="1" ht="22.9" customHeight="1">
      <c r="B146" s="32"/>
      <c r="D146" s="27" t="s">
        <v>26</v>
      </c>
      <c r="E146" s="98" t="s">
        <v>619</v>
      </c>
      <c r="F146" s="98" t="s">
        <v>618</v>
      </c>
      <c r="I146" s="34"/>
      <c r="J146" s="97">
        <f>BK146</f>
        <v>0</v>
      </c>
      <c r="L146" s="32"/>
      <c r="M146" s="31"/>
      <c r="P146" s="30">
        <f>SUM(P147:P161)</f>
        <v>0</v>
      </c>
      <c r="R146" s="30">
        <f>SUM(R147:R161)</f>
        <v>0</v>
      </c>
      <c r="T146" s="29">
        <f>SUM(T147:T161)</f>
        <v>0</v>
      </c>
      <c r="AR146" s="27" t="s">
        <v>2</v>
      </c>
      <c r="AT146" s="28" t="s">
        <v>26</v>
      </c>
      <c r="AU146" s="28" t="s">
        <v>2</v>
      </c>
      <c r="AY146" s="27" t="s">
        <v>3</v>
      </c>
      <c r="BK146" s="26">
        <f>SUM(BK147:BK161)</f>
        <v>0</v>
      </c>
    </row>
    <row r="147" spans="2:65" s="2" customFormat="1" ht="16.5" customHeight="1">
      <c r="B147" s="3"/>
      <c r="C147" s="20" t="s">
        <v>362</v>
      </c>
      <c r="D147" s="20" t="s">
        <v>4</v>
      </c>
      <c r="E147" s="19" t="s">
        <v>617</v>
      </c>
      <c r="F147" s="14" t="s">
        <v>616</v>
      </c>
      <c r="G147" s="18" t="s">
        <v>8</v>
      </c>
      <c r="H147" s="17">
        <v>1</v>
      </c>
      <c r="I147" s="16"/>
      <c r="J147" s="15">
        <f t="shared" ref="J147:J161" si="0">ROUND(I147*H147,2)</f>
        <v>0</v>
      </c>
      <c r="K147" s="14" t="s">
        <v>7</v>
      </c>
      <c r="L147" s="3"/>
      <c r="M147" s="24" t="s">
        <v>6</v>
      </c>
      <c r="N147" s="23" t="s">
        <v>5</v>
      </c>
      <c r="P147" s="22">
        <f t="shared" ref="P147:P161" si="1">O147*H147</f>
        <v>0</v>
      </c>
      <c r="Q147" s="22">
        <v>0</v>
      </c>
      <c r="R147" s="22">
        <f t="shared" ref="R147:R161" si="2">Q147*H147</f>
        <v>0</v>
      </c>
      <c r="S147" s="22">
        <v>0</v>
      </c>
      <c r="T147" s="21">
        <f t="shared" ref="T147:T161" si="3">S147*H147</f>
        <v>0</v>
      </c>
      <c r="AR147" s="6" t="s">
        <v>1</v>
      </c>
      <c r="AT147" s="6" t="s">
        <v>4</v>
      </c>
      <c r="AU147" s="6" t="s">
        <v>365</v>
      </c>
      <c r="AY147" s="7" t="s">
        <v>3</v>
      </c>
      <c r="BE147" s="8">
        <f t="shared" ref="BE147:BE161" si="4">IF(N147="základní",J147,0)</f>
        <v>0</v>
      </c>
      <c r="BF147" s="8">
        <f t="shared" ref="BF147:BF161" si="5">IF(N147="snížená",J147,0)</f>
        <v>0</v>
      </c>
      <c r="BG147" s="8">
        <f t="shared" ref="BG147:BG161" si="6">IF(N147="zákl. přenesená",J147,0)</f>
        <v>0</v>
      </c>
      <c r="BH147" s="8">
        <f t="shared" ref="BH147:BH161" si="7">IF(N147="sníž. přenesená",J147,0)</f>
        <v>0</v>
      </c>
      <c r="BI147" s="8">
        <f t="shared" ref="BI147:BI161" si="8">IF(N147="nulová",J147,0)</f>
        <v>0</v>
      </c>
      <c r="BJ147" s="7" t="s">
        <v>2</v>
      </c>
      <c r="BK147" s="8">
        <f t="shared" ref="BK147:BK161" si="9">ROUND(I147*H147,2)</f>
        <v>0</v>
      </c>
      <c r="BL147" s="7" t="s">
        <v>1</v>
      </c>
      <c r="BM147" s="6" t="s">
        <v>355</v>
      </c>
    </row>
    <row r="148" spans="2:65" s="2" customFormat="1" ht="16.5" customHeight="1">
      <c r="B148" s="3"/>
      <c r="C148" s="20" t="s">
        <v>1</v>
      </c>
      <c r="D148" s="20" t="s">
        <v>4</v>
      </c>
      <c r="E148" s="19" t="s">
        <v>589</v>
      </c>
      <c r="F148" s="14" t="s">
        <v>588</v>
      </c>
      <c r="G148" s="18" t="s">
        <v>8</v>
      </c>
      <c r="H148" s="17">
        <v>5</v>
      </c>
      <c r="I148" s="16"/>
      <c r="J148" s="15">
        <f t="shared" si="0"/>
        <v>0</v>
      </c>
      <c r="K148" s="14" t="s">
        <v>7</v>
      </c>
      <c r="L148" s="3"/>
      <c r="M148" s="24" t="s">
        <v>6</v>
      </c>
      <c r="N148" s="23" t="s">
        <v>5</v>
      </c>
      <c r="P148" s="22">
        <f t="shared" si="1"/>
        <v>0</v>
      </c>
      <c r="Q148" s="22">
        <v>0</v>
      </c>
      <c r="R148" s="22">
        <f t="shared" si="2"/>
        <v>0</v>
      </c>
      <c r="S148" s="22">
        <v>0</v>
      </c>
      <c r="T148" s="21">
        <f t="shared" si="3"/>
        <v>0</v>
      </c>
      <c r="AR148" s="6" t="s">
        <v>1</v>
      </c>
      <c r="AT148" s="6" t="s">
        <v>4</v>
      </c>
      <c r="AU148" s="6" t="s">
        <v>365</v>
      </c>
      <c r="AY148" s="7" t="s">
        <v>3</v>
      </c>
      <c r="BE148" s="8">
        <f t="shared" si="4"/>
        <v>0</v>
      </c>
      <c r="BF148" s="8">
        <f t="shared" si="5"/>
        <v>0</v>
      </c>
      <c r="BG148" s="8">
        <f t="shared" si="6"/>
        <v>0</v>
      </c>
      <c r="BH148" s="8">
        <f t="shared" si="7"/>
        <v>0</v>
      </c>
      <c r="BI148" s="8">
        <f t="shared" si="8"/>
        <v>0</v>
      </c>
      <c r="BJ148" s="7" t="s">
        <v>2</v>
      </c>
      <c r="BK148" s="8">
        <f t="shared" si="9"/>
        <v>0</v>
      </c>
      <c r="BL148" s="7" t="s">
        <v>1</v>
      </c>
      <c r="BM148" s="6" t="s">
        <v>349</v>
      </c>
    </row>
    <row r="149" spans="2:65" s="2" customFormat="1" ht="16.5" customHeight="1">
      <c r="B149" s="3"/>
      <c r="C149" s="20" t="s">
        <v>357</v>
      </c>
      <c r="D149" s="20" t="s">
        <v>4</v>
      </c>
      <c r="E149" s="19" t="s">
        <v>615</v>
      </c>
      <c r="F149" s="14" t="s">
        <v>614</v>
      </c>
      <c r="G149" s="18" t="s">
        <v>8</v>
      </c>
      <c r="H149" s="17">
        <v>2</v>
      </c>
      <c r="I149" s="16"/>
      <c r="J149" s="15">
        <f t="shared" si="0"/>
        <v>0</v>
      </c>
      <c r="K149" s="14" t="s">
        <v>7</v>
      </c>
      <c r="L149" s="3"/>
      <c r="M149" s="24" t="s">
        <v>6</v>
      </c>
      <c r="N149" s="23" t="s">
        <v>5</v>
      </c>
      <c r="P149" s="22">
        <f t="shared" si="1"/>
        <v>0</v>
      </c>
      <c r="Q149" s="22">
        <v>0</v>
      </c>
      <c r="R149" s="22">
        <f t="shared" si="2"/>
        <v>0</v>
      </c>
      <c r="S149" s="22">
        <v>0</v>
      </c>
      <c r="T149" s="21">
        <f t="shared" si="3"/>
        <v>0</v>
      </c>
      <c r="AR149" s="6" t="s">
        <v>1</v>
      </c>
      <c r="AT149" s="6" t="s">
        <v>4</v>
      </c>
      <c r="AU149" s="6" t="s">
        <v>365</v>
      </c>
      <c r="AY149" s="7" t="s">
        <v>3</v>
      </c>
      <c r="BE149" s="8">
        <f t="shared" si="4"/>
        <v>0</v>
      </c>
      <c r="BF149" s="8">
        <f t="shared" si="5"/>
        <v>0</v>
      </c>
      <c r="BG149" s="8">
        <f t="shared" si="6"/>
        <v>0</v>
      </c>
      <c r="BH149" s="8">
        <f t="shared" si="7"/>
        <v>0</v>
      </c>
      <c r="BI149" s="8">
        <f t="shared" si="8"/>
        <v>0</v>
      </c>
      <c r="BJ149" s="7" t="s">
        <v>2</v>
      </c>
      <c r="BK149" s="8">
        <f t="shared" si="9"/>
        <v>0</v>
      </c>
      <c r="BL149" s="7" t="s">
        <v>1</v>
      </c>
      <c r="BM149" s="6" t="s">
        <v>344</v>
      </c>
    </row>
    <row r="150" spans="2:65" s="2" customFormat="1" ht="16.5" customHeight="1">
      <c r="B150" s="3"/>
      <c r="C150" s="20" t="s">
        <v>355</v>
      </c>
      <c r="D150" s="20" t="s">
        <v>4</v>
      </c>
      <c r="E150" s="19" t="s">
        <v>613</v>
      </c>
      <c r="F150" s="14" t="s">
        <v>612</v>
      </c>
      <c r="G150" s="18" t="s">
        <v>8</v>
      </c>
      <c r="H150" s="17">
        <v>1</v>
      </c>
      <c r="I150" s="16"/>
      <c r="J150" s="15">
        <f t="shared" si="0"/>
        <v>0</v>
      </c>
      <c r="K150" s="14" t="s">
        <v>7</v>
      </c>
      <c r="L150" s="3"/>
      <c r="M150" s="24" t="s">
        <v>6</v>
      </c>
      <c r="N150" s="23" t="s">
        <v>5</v>
      </c>
      <c r="P150" s="22">
        <f t="shared" si="1"/>
        <v>0</v>
      </c>
      <c r="Q150" s="22">
        <v>0</v>
      </c>
      <c r="R150" s="22">
        <f t="shared" si="2"/>
        <v>0</v>
      </c>
      <c r="S150" s="22">
        <v>0</v>
      </c>
      <c r="T150" s="21">
        <f t="shared" si="3"/>
        <v>0</v>
      </c>
      <c r="AR150" s="6" t="s">
        <v>1</v>
      </c>
      <c r="AT150" s="6" t="s">
        <v>4</v>
      </c>
      <c r="AU150" s="6" t="s">
        <v>365</v>
      </c>
      <c r="AY150" s="7" t="s">
        <v>3</v>
      </c>
      <c r="BE150" s="8">
        <f t="shared" si="4"/>
        <v>0</v>
      </c>
      <c r="BF150" s="8">
        <f t="shared" si="5"/>
        <v>0</v>
      </c>
      <c r="BG150" s="8">
        <f t="shared" si="6"/>
        <v>0</v>
      </c>
      <c r="BH150" s="8">
        <f t="shared" si="7"/>
        <v>0</v>
      </c>
      <c r="BI150" s="8">
        <f t="shared" si="8"/>
        <v>0</v>
      </c>
      <c r="BJ150" s="7" t="s">
        <v>2</v>
      </c>
      <c r="BK150" s="8">
        <f t="shared" si="9"/>
        <v>0</v>
      </c>
      <c r="BL150" s="7" t="s">
        <v>1</v>
      </c>
      <c r="BM150" s="6" t="s">
        <v>339</v>
      </c>
    </row>
    <row r="151" spans="2:65" s="2" customFormat="1" ht="16.5" customHeight="1">
      <c r="B151" s="3"/>
      <c r="C151" s="20" t="s">
        <v>352</v>
      </c>
      <c r="D151" s="20" t="s">
        <v>4</v>
      </c>
      <c r="E151" s="19" t="s">
        <v>587</v>
      </c>
      <c r="F151" s="14" t="s">
        <v>586</v>
      </c>
      <c r="G151" s="18" t="s">
        <v>8</v>
      </c>
      <c r="H151" s="17">
        <v>7</v>
      </c>
      <c r="I151" s="16"/>
      <c r="J151" s="15">
        <f t="shared" si="0"/>
        <v>0</v>
      </c>
      <c r="K151" s="14" t="s">
        <v>7</v>
      </c>
      <c r="L151" s="3"/>
      <c r="M151" s="24" t="s">
        <v>6</v>
      </c>
      <c r="N151" s="23" t="s">
        <v>5</v>
      </c>
      <c r="P151" s="22">
        <f t="shared" si="1"/>
        <v>0</v>
      </c>
      <c r="Q151" s="22">
        <v>0</v>
      </c>
      <c r="R151" s="22">
        <f t="shared" si="2"/>
        <v>0</v>
      </c>
      <c r="S151" s="22">
        <v>0</v>
      </c>
      <c r="T151" s="21">
        <f t="shared" si="3"/>
        <v>0</v>
      </c>
      <c r="AR151" s="6" t="s">
        <v>1</v>
      </c>
      <c r="AT151" s="6" t="s">
        <v>4</v>
      </c>
      <c r="AU151" s="6" t="s">
        <v>365</v>
      </c>
      <c r="AY151" s="7" t="s">
        <v>3</v>
      </c>
      <c r="BE151" s="8">
        <f t="shared" si="4"/>
        <v>0</v>
      </c>
      <c r="BF151" s="8">
        <f t="shared" si="5"/>
        <v>0</v>
      </c>
      <c r="BG151" s="8">
        <f t="shared" si="6"/>
        <v>0</v>
      </c>
      <c r="BH151" s="8">
        <f t="shared" si="7"/>
        <v>0</v>
      </c>
      <c r="BI151" s="8">
        <f t="shared" si="8"/>
        <v>0</v>
      </c>
      <c r="BJ151" s="7" t="s">
        <v>2</v>
      </c>
      <c r="BK151" s="8">
        <f t="shared" si="9"/>
        <v>0</v>
      </c>
      <c r="BL151" s="7" t="s">
        <v>1</v>
      </c>
      <c r="BM151" s="6" t="s">
        <v>334</v>
      </c>
    </row>
    <row r="152" spans="2:65" s="2" customFormat="1" ht="16.5" customHeight="1">
      <c r="B152" s="3"/>
      <c r="C152" s="20" t="s">
        <v>349</v>
      </c>
      <c r="D152" s="20" t="s">
        <v>4</v>
      </c>
      <c r="E152" s="19" t="s">
        <v>585</v>
      </c>
      <c r="F152" s="14" t="s">
        <v>584</v>
      </c>
      <c r="G152" s="18" t="s">
        <v>8</v>
      </c>
      <c r="H152" s="17">
        <v>1</v>
      </c>
      <c r="I152" s="16"/>
      <c r="J152" s="15">
        <f t="shared" si="0"/>
        <v>0</v>
      </c>
      <c r="K152" s="14" t="s">
        <v>7</v>
      </c>
      <c r="L152" s="3"/>
      <c r="M152" s="24" t="s">
        <v>6</v>
      </c>
      <c r="N152" s="23" t="s">
        <v>5</v>
      </c>
      <c r="P152" s="22">
        <f t="shared" si="1"/>
        <v>0</v>
      </c>
      <c r="Q152" s="22">
        <v>0</v>
      </c>
      <c r="R152" s="22">
        <f t="shared" si="2"/>
        <v>0</v>
      </c>
      <c r="S152" s="22">
        <v>0</v>
      </c>
      <c r="T152" s="21">
        <f t="shared" si="3"/>
        <v>0</v>
      </c>
      <c r="AR152" s="6" t="s">
        <v>1</v>
      </c>
      <c r="AT152" s="6" t="s">
        <v>4</v>
      </c>
      <c r="AU152" s="6" t="s">
        <v>365</v>
      </c>
      <c r="AY152" s="7" t="s">
        <v>3</v>
      </c>
      <c r="BE152" s="8">
        <f t="shared" si="4"/>
        <v>0</v>
      </c>
      <c r="BF152" s="8">
        <f t="shared" si="5"/>
        <v>0</v>
      </c>
      <c r="BG152" s="8">
        <f t="shared" si="6"/>
        <v>0</v>
      </c>
      <c r="BH152" s="8">
        <f t="shared" si="7"/>
        <v>0</v>
      </c>
      <c r="BI152" s="8">
        <f t="shared" si="8"/>
        <v>0</v>
      </c>
      <c r="BJ152" s="7" t="s">
        <v>2</v>
      </c>
      <c r="BK152" s="8">
        <f t="shared" si="9"/>
        <v>0</v>
      </c>
      <c r="BL152" s="7" t="s">
        <v>1</v>
      </c>
      <c r="BM152" s="6" t="s">
        <v>328</v>
      </c>
    </row>
    <row r="153" spans="2:65" s="2" customFormat="1" ht="16.5" customHeight="1">
      <c r="B153" s="3"/>
      <c r="C153" s="20" t="s">
        <v>347</v>
      </c>
      <c r="D153" s="20" t="s">
        <v>4</v>
      </c>
      <c r="E153" s="19" t="s">
        <v>583</v>
      </c>
      <c r="F153" s="14" t="s">
        <v>582</v>
      </c>
      <c r="G153" s="18" t="s">
        <v>8</v>
      </c>
      <c r="H153" s="17">
        <v>1</v>
      </c>
      <c r="I153" s="16"/>
      <c r="J153" s="15">
        <f t="shared" si="0"/>
        <v>0</v>
      </c>
      <c r="K153" s="14" t="s">
        <v>7</v>
      </c>
      <c r="L153" s="3"/>
      <c r="M153" s="24" t="s">
        <v>6</v>
      </c>
      <c r="N153" s="23" t="s">
        <v>5</v>
      </c>
      <c r="P153" s="22">
        <f t="shared" si="1"/>
        <v>0</v>
      </c>
      <c r="Q153" s="22">
        <v>0</v>
      </c>
      <c r="R153" s="22">
        <f t="shared" si="2"/>
        <v>0</v>
      </c>
      <c r="S153" s="22">
        <v>0</v>
      </c>
      <c r="T153" s="21">
        <f t="shared" si="3"/>
        <v>0</v>
      </c>
      <c r="AR153" s="6" t="s">
        <v>1</v>
      </c>
      <c r="AT153" s="6" t="s">
        <v>4</v>
      </c>
      <c r="AU153" s="6" t="s">
        <v>365</v>
      </c>
      <c r="AY153" s="7" t="s">
        <v>3</v>
      </c>
      <c r="BE153" s="8">
        <f t="shared" si="4"/>
        <v>0</v>
      </c>
      <c r="BF153" s="8">
        <f t="shared" si="5"/>
        <v>0</v>
      </c>
      <c r="BG153" s="8">
        <f t="shared" si="6"/>
        <v>0</v>
      </c>
      <c r="BH153" s="8">
        <f t="shared" si="7"/>
        <v>0</v>
      </c>
      <c r="BI153" s="8">
        <f t="shared" si="8"/>
        <v>0</v>
      </c>
      <c r="BJ153" s="7" t="s">
        <v>2</v>
      </c>
      <c r="BK153" s="8">
        <f t="shared" si="9"/>
        <v>0</v>
      </c>
      <c r="BL153" s="7" t="s">
        <v>1</v>
      </c>
      <c r="BM153" s="6" t="s">
        <v>320</v>
      </c>
    </row>
    <row r="154" spans="2:65" s="2" customFormat="1" ht="16.5" customHeight="1">
      <c r="B154" s="3"/>
      <c r="C154" s="20" t="s">
        <v>344</v>
      </c>
      <c r="D154" s="20" t="s">
        <v>4</v>
      </c>
      <c r="E154" s="19" t="s">
        <v>581</v>
      </c>
      <c r="F154" s="14" t="s">
        <v>580</v>
      </c>
      <c r="G154" s="18" t="s">
        <v>8</v>
      </c>
      <c r="H154" s="17">
        <v>3</v>
      </c>
      <c r="I154" s="16"/>
      <c r="J154" s="15">
        <f t="shared" si="0"/>
        <v>0</v>
      </c>
      <c r="K154" s="14" t="s">
        <v>7</v>
      </c>
      <c r="L154" s="3"/>
      <c r="M154" s="24" t="s">
        <v>6</v>
      </c>
      <c r="N154" s="23" t="s">
        <v>5</v>
      </c>
      <c r="P154" s="22">
        <f t="shared" si="1"/>
        <v>0</v>
      </c>
      <c r="Q154" s="22">
        <v>0</v>
      </c>
      <c r="R154" s="22">
        <f t="shared" si="2"/>
        <v>0</v>
      </c>
      <c r="S154" s="22">
        <v>0</v>
      </c>
      <c r="T154" s="21">
        <f t="shared" si="3"/>
        <v>0</v>
      </c>
      <c r="AR154" s="6" t="s">
        <v>1</v>
      </c>
      <c r="AT154" s="6" t="s">
        <v>4</v>
      </c>
      <c r="AU154" s="6" t="s">
        <v>365</v>
      </c>
      <c r="AY154" s="7" t="s">
        <v>3</v>
      </c>
      <c r="BE154" s="8">
        <f t="shared" si="4"/>
        <v>0</v>
      </c>
      <c r="BF154" s="8">
        <f t="shared" si="5"/>
        <v>0</v>
      </c>
      <c r="BG154" s="8">
        <f t="shared" si="6"/>
        <v>0</v>
      </c>
      <c r="BH154" s="8">
        <f t="shared" si="7"/>
        <v>0</v>
      </c>
      <c r="BI154" s="8">
        <f t="shared" si="8"/>
        <v>0</v>
      </c>
      <c r="BJ154" s="7" t="s">
        <v>2</v>
      </c>
      <c r="BK154" s="8">
        <f t="shared" si="9"/>
        <v>0</v>
      </c>
      <c r="BL154" s="7" t="s">
        <v>1</v>
      </c>
      <c r="BM154" s="6" t="s">
        <v>314</v>
      </c>
    </row>
    <row r="155" spans="2:65" s="2" customFormat="1" ht="16.5" customHeight="1">
      <c r="B155" s="3"/>
      <c r="C155" s="20" t="s">
        <v>341</v>
      </c>
      <c r="D155" s="20" t="s">
        <v>4</v>
      </c>
      <c r="E155" s="19" t="s">
        <v>579</v>
      </c>
      <c r="F155" s="14" t="s">
        <v>578</v>
      </c>
      <c r="G155" s="18" t="s">
        <v>8</v>
      </c>
      <c r="H155" s="17">
        <v>1</v>
      </c>
      <c r="I155" s="16"/>
      <c r="J155" s="15">
        <f t="shared" si="0"/>
        <v>0</v>
      </c>
      <c r="K155" s="14" t="s">
        <v>7</v>
      </c>
      <c r="L155" s="3"/>
      <c r="M155" s="24" t="s">
        <v>6</v>
      </c>
      <c r="N155" s="23" t="s">
        <v>5</v>
      </c>
      <c r="P155" s="22">
        <f t="shared" si="1"/>
        <v>0</v>
      </c>
      <c r="Q155" s="22">
        <v>0</v>
      </c>
      <c r="R155" s="22">
        <f t="shared" si="2"/>
        <v>0</v>
      </c>
      <c r="S155" s="22">
        <v>0</v>
      </c>
      <c r="T155" s="21">
        <f t="shared" si="3"/>
        <v>0</v>
      </c>
      <c r="AR155" s="6" t="s">
        <v>1</v>
      </c>
      <c r="AT155" s="6" t="s">
        <v>4</v>
      </c>
      <c r="AU155" s="6" t="s">
        <v>365</v>
      </c>
      <c r="AY155" s="7" t="s">
        <v>3</v>
      </c>
      <c r="BE155" s="8">
        <f t="shared" si="4"/>
        <v>0</v>
      </c>
      <c r="BF155" s="8">
        <f t="shared" si="5"/>
        <v>0</v>
      </c>
      <c r="BG155" s="8">
        <f t="shared" si="6"/>
        <v>0</v>
      </c>
      <c r="BH155" s="8">
        <f t="shared" si="7"/>
        <v>0</v>
      </c>
      <c r="BI155" s="8">
        <f t="shared" si="8"/>
        <v>0</v>
      </c>
      <c r="BJ155" s="7" t="s">
        <v>2</v>
      </c>
      <c r="BK155" s="8">
        <f t="shared" si="9"/>
        <v>0</v>
      </c>
      <c r="BL155" s="7" t="s">
        <v>1</v>
      </c>
      <c r="BM155" s="6" t="s">
        <v>308</v>
      </c>
    </row>
    <row r="156" spans="2:65" s="2" customFormat="1" ht="16.5" customHeight="1">
      <c r="B156" s="3"/>
      <c r="C156" s="20" t="s">
        <v>339</v>
      </c>
      <c r="D156" s="20" t="s">
        <v>4</v>
      </c>
      <c r="E156" s="19" t="s">
        <v>577</v>
      </c>
      <c r="F156" s="14" t="s">
        <v>576</v>
      </c>
      <c r="G156" s="18" t="s">
        <v>8</v>
      </c>
      <c r="H156" s="17">
        <v>4</v>
      </c>
      <c r="I156" s="16"/>
      <c r="J156" s="15">
        <f t="shared" si="0"/>
        <v>0</v>
      </c>
      <c r="K156" s="14" t="s">
        <v>7</v>
      </c>
      <c r="L156" s="3"/>
      <c r="M156" s="24" t="s">
        <v>6</v>
      </c>
      <c r="N156" s="23" t="s">
        <v>5</v>
      </c>
      <c r="P156" s="22">
        <f t="shared" si="1"/>
        <v>0</v>
      </c>
      <c r="Q156" s="22">
        <v>0</v>
      </c>
      <c r="R156" s="22">
        <f t="shared" si="2"/>
        <v>0</v>
      </c>
      <c r="S156" s="22">
        <v>0</v>
      </c>
      <c r="T156" s="21">
        <f t="shared" si="3"/>
        <v>0</v>
      </c>
      <c r="AR156" s="6" t="s">
        <v>1</v>
      </c>
      <c r="AT156" s="6" t="s">
        <v>4</v>
      </c>
      <c r="AU156" s="6" t="s">
        <v>365</v>
      </c>
      <c r="AY156" s="7" t="s">
        <v>3</v>
      </c>
      <c r="BE156" s="8">
        <f t="shared" si="4"/>
        <v>0</v>
      </c>
      <c r="BF156" s="8">
        <f t="shared" si="5"/>
        <v>0</v>
      </c>
      <c r="BG156" s="8">
        <f t="shared" si="6"/>
        <v>0</v>
      </c>
      <c r="BH156" s="8">
        <f t="shared" si="7"/>
        <v>0</v>
      </c>
      <c r="BI156" s="8">
        <f t="shared" si="8"/>
        <v>0</v>
      </c>
      <c r="BJ156" s="7" t="s">
        <v>2</v>
      </c>
      <c r="BK156" s="8">
        <f t="shared" si="9"/>
        <v>0</v>
      </c>
      <c r="BL156" s="7" t="s">
        <v>1</v>
      </c>
      <c r="BM156" s="6" t="s">
        <v>300</v>
      </c>
    </row>
    <row r="157" spans="2:65" s="2" customFormat="1" ht="16.5" customHeight="1">
      <c r="B157" s="3"/>
      <c r="C157" s="20" t="s">
        <v>336</v>
      </c>
      <c r="D157" s="20" t="s">
        <v>4</v>
      </c>
      <c r="E157" s="19" t="s">
        <v>611</v>
      </c>
      <c r="F157" s="14" t="s">
        <v>610</v>
      </c>
      <c r="G157" s="18" t="s">
        <v>8</v>
      </c>
      <c r="H157" s="17">
        <v>1</v>
      </c>
      <c r="I157" s="16"/>
      <c r="J157" s="15">
        <f t="shared" si="0"/>
        <v>0</v>
      </c>
      <c r="K157" s="14" t="s">
        <v>7</v>
      </c>
      <c r="L157" s="3"/>
      <c r="M157" s="24" t="s">
        <v>6</v>
      </c>
      <c r="N157" s="23" t="s">
        <v>5</v>
      </c>
      <c r="P157" s="22">
        <f t="shared" si="1"/>
        <v>0</v>
      </c>
      <c r="Q157" s="22">
        <v>0</v>
      </c>
      <c r="R157" s="22">
        <f t="shared" si="2"/>
        <v>0</v>
      </c>
      <c r="S157" s="22">
        <v>0</v>
      </c>
      <c r="T157" s="21">
        <f t="shared" si="3"/>
        <v>0</v>
      </c>
      <c r="AR157" s="6" t="s">
        <v>1</v>
      </c>
      <c r="AT157" s="6" t="s">
        <v>4</v>
      </c>
      <c r="AU157" s="6" t="s">
        <v>365</v>
      </c>
      <c r="AY157" s="7" t="s">
        <v>3</v>
      </c>
      <c r="BE157" s="8">
        <f t="shared" si="4"/>
        <v>0</v>
      </c>
      <c r="BF157" s="8">
        <f t="shared" si="5"/>
        <v>0</v>
      </c>
      <c r="BG157" s="8">
        <f t="shared" si="6"/>
        <v>0</v>
      </c>
      <c r="BH157" s="8">
        <f t="shared" si="7"/>
        <v>0</v>
      </c>
      <c r="BI157" s="8">
        <f t="shared" si="8"/>
        <v>0</v>
      </c>
      <c r="BJ157" s="7" t="s">
        <v>2</v>
      </c>
      <c r="BK157" s="8">
        <f t="shared" si="9"/>
        <v>0</v>
      </c>
      <c r="BL157" s="7" t="s">
        <v>1</v>
      </c>
      <c r="BM157" s="6" t="s">
        <v>296</v>
      </c>
    </row>
    <row r="158" spans="2:65" s="2" customFormat="1" ht="16.5" customHeight="1">
      <c r="B158" s="3"/>
      <c r="C158" s="20" t="s">
        <v>334</v>
      </c>
      <c r="D158" s="20" t="s">
        <v>4</v>
      </c>
      <c r="E158" s="19" t="s">
        <v>609</v>
      </c>
      <c r="F158" s="14" t="s">
        <v>608</v>
      </c>
      <c r="G158" s="18" t="s">
        <v>8</v>
      </c>
      <c r="H158" s="17">
        <v>2</v>
      </c>
      <c r="I158" s="16"/>
      <c r="J158" s="15">
        <f t="shared" si="0"/>
        <v>0</v>
      </c>
      <c r="K158" s="14" t="s">
        <v>7</v>
      </c>
      <c r="L158" s="3"/>
      <c r="M158" s="24" t="s">
        <v>6</v>
      </c>
      <c r="N158" s="23" t="s">
        <v>5</v>
      </c>
      <c r="P158" s="22">
        <f t="shared" si="1"/>
        <v>0</v>
      </c>
      <c r="Q158" s="22">
        <v>0</v>
      </c>
      <c r="R158" s="22">
        <f t="shared" si="2"/>
        <v>0</v>
      </c>
      <c r="S158" s="22">
        <v>0</v>
      </c>
      <c r="T158" s="21">
        <f t="shared" si="3"/>
        <v>0</v>
      </c>
      <c r="AR158" s="6" t="s">
        <v>1</v>
      </c>
      <c r="AT158" s="6" t="s">
        <v>4</v>
      </c>
      <c r="AU158" s="6" t="s">
        <v>365</v>
      </c>
      <c r="AY158" s="7" t="s">
        <v>3</v>
      </c>
      <c r="BE158" s="8">
        <f t="shared" si="4"/>
        <v>0</v>
      </c>
      <c r="BF158" s="8">
        <f t="shared" si="5"/>
        <v>0</v>
      </c>
      <c r="BG158" s="8">
        <f t="shared" si="6"/>
        <v>0</v>
      </c>
      <c r="BH158" s="8">
        <f t="shared" si="7"/>
        <v>0</v>
      </c>
      <c r="BI158" s="8">
        <f t="shared" si="8"/>
        <v>0</v>
      </c>
      <c r="BJ158" s="7" t="s">
        <v>2</v>
      </c>
      <c r="BK158" s="8">
        <f t="shared" si="9"/>
        <v>0</v>
      </c>
      <c r="BL158" s="7" t="s">
        <v>1</v>
      </c>
      <c r="BM158" s="6" t="s">
        <v>292</v>
      </c>
    </row>
    <row r="159" spans="2:65" s="2" customFormat="1" ht="16.5" customHeight="1">
      <c r="B159" s="3"/>
      <c r="C159" s="20" t="s">
        <v>332</v>
      </c>
      <c r="D159" s="20" t="s">
        <v>4</v>
      </c>
      <c r="E159" s="19" t="s">
        <v>607</v>
      </c>
      <c r="F159" s="14" t="s">
        <v>606</v>
      </c>
      <c r="G159" s="18" t="s">
        <v>8</v>
      </c>
      <c r="H159" s="17">
        <v>1</v>
      </c>
      <c r="I159" s="16"/>
      <c r="J159" s="15">
        <f t="shared" si="0"/>
        <v>0</v>
      </c>
      <c r="K159" s="14" t="s">
        <v>7</v>
      </c>
      <c r="L159" s="3"/>
      <c r="M159" s="24" t="s">
        <v>6</v>
      </c>
      <c r="N159" s="23" t="s">
        <v>5</v>
      </c>
      <c r="P159" s="22">
        <f t="shared" si="1"/>
        <v>0</v>
      </c>
      <c r="Q159" s="22">
        <v>0</v>
      </c>
      <c r="R159" s="22">
        <f t="shared" si="2"/>
        <v>0</v>
      </c>
      <c r="S159" s="22">
        <v>0</v>
      </c>
      <c r="T159" s="21">
        <f t="shared" si="3"/>
        <v>0</v>
      </c>
      <c r="AR159" s="6" t="s">
        <v>1</v>
      </c>
      <c r="AT159" s="6" t="s">
        <v>4</v>
      </c>
      <c r="AU159" s="6" t="s">
        <v>365</v>
      </c>
      <c r="AY159" s="7" t="s">
        <v>3</v>
      </c>
      <c r="BE159" s="8">
        <f t="shared" si="4"/>
        <v>0</v>
      </c>
      <c r="BF159" s="8">
        <f t="shared" si="5"/>
        <v>0</v>
      </c>
      <c r="BG159" s="8">
        <f t="shared" si="6"/>
        <v>0</v>
      </c>
      <c r="BH159" s="8">
        <f t="shared" si="7"/>
        <v>0</v>
      </c>
      <c r="BI159" s="8">
        <f t="shared" si="8"/>
        <v>0</v>
      </c>
      <c r="BJ159" s="7" t="s">
        <v>2</v>
      </c>
      <c r="BK159" s="8">
        <f t="shared" si="9"/>
        <v>0</v>
      </c>
      <c r="BL159" s="7" t="s">
        <v>1</v>
      </c>
      <c r="BM159" s="6" t="s">
        <v>288</v>
      </c>
    </row>
    <row r="160" spans="2:65" s="2" customFormat="1" ht="16.5" customHeight="1">
      <c r="B160" s="3"/>
      <c r="C160" s="20" t="s">
        <v>328</v>
      </c>
      <c r="D160" s="20" t="s">
        <v>4</v>
      </c>
      <c r="E160" s="19" t="s">
        <v>605</v>
      </c>
      <c r="F160" s="14" t="s">
        <v>604</v>
      </c>
      <c r="G160" s="18" t="s">
        <v>8</v>
      </c>
      <c r="H160" s="17">
        <v>0</v>
      </c>
      <c r="I160" s="16"/>
      <c r="J160" s="15">
        <f t="shared" si="0"/>
        <v>0</v>
      </c>
      <c r="K160" s="14" t="s">
        <v>7</v>
      </c>
      <c r="L160" s="3"/>
      <c r="M160" s="24" t="s">
        <v>6</v>
      </c>
      <c r="N160" s="23" t="s">
        <v>5</v>
      </c>
      <c r="P160" s="22">
        <f t="shared" si="1"/>
        <v>0</v>
      </c>
      <c r="Q160" s="22">
        <v>0</v>
      </c>
      <c r="R160" s="22">
        <f t="shared" si="2"/>
        <v>0</v>
      </c>
      <c r="S160" s="22">
        <v>0</v>
      </c>
      <c r="T160" s="21">
        <f t="shared" si="3"/>
        <v>0</v>
      </c>
      <c r="AR160" s="6" t="s">
        <v>1</v>
      </c>
      <c r="AT160" s="6" t="s">
        <v>4</v>
      </c>
      <c r="AU160" s="6" t="s">
        <v>365</v>
      </c>
      <c r="AY160" s="7" t="s">
        <v>3</v>
      </c>
      <c r="BE160" s="8">
        <f t="shared" si="4"/>
        <v>0</v>
      </c>
      <c r="BF160" s="8">
        <f t="shared" si="5"/>
        <v>0</v>
      </c>
      <c r="BG160" s="8">
        <f t="shared" si="6"/>
        <v>0</v>
      </c>
      <c r="BH160" s="8">
        <f t="shared" si="7"/>
        <v>0</v>
      </c>
      <c r="BI160" s="8">
        <f t="shared" si="8"/>
        <v>0</v>
      </c>
      <c r="BJ160" s="7" t="s">
        <v>2</v>
      </c>
      <c r="BK160" s="8">
        <f t="shared" si="9"/>
        <v>0</v>
      </c>
      <c r="BL160" s="7" t="s">
        <v>1</v>
      </c>
      <c r="BM160" s="6" t="s">
        <v>283</v>
      </c>
    </row>
    <row r="161" spans="2:65" s="2" customFormat="1" ht="16.5" customHeight="1">
      <c r="B161" s="3"/>
      <c r="C161" s="20" t="s">
        <v>323</v>
      </c>
      <c r="D161" s="20" t="s">
        <v>4</v>
      </c>
      <c r="E161" s="19" t="s">
        <v>562</v>
      </c>
      <c r="F161" s="14" t="s">
        <v>561</v>
      </c>
      <c r="G161" s="18" t="s">
        <v>8</v>
      </c>
      <c r="H161" s="17">
        <v>0</v>
      </c>
      <c r="I161" s="16"/>
      <c r="J161" s="15">
        <f t="shared" si="0"/>
        <v>0</v>
      </c>
      <c r="K161" s="14" t="s">
        <v>7</v>
      </c>
      <c r="L161" s="3"/>
      <c r="M161" s="24" t="s">
        <v>6</v>
      </c>
      <c r="N161" s="23" t="s">
        <v>5</v>
      </c>
      <c r="P161" s="22">
        <f t="shared" si="1"/>
        <v>0</v>
      </c>
      <c r="Q161" s="22">
        <v>0</v>
      </c>
      <c r="R161" s="22">
        <f t="shared" si="2"/>
        <v>0</v>
      </c>
      <c r="S161" s="22">
        <v>0</v>
      </c>
      <c r="T161" s="21">
        <f t="shared" si="3"/>
        <v>0</v>
      </c>
      <c r="AR161" s="6" t="s">
        <v>1</v>
      </c>
      <c r="AT161" s="6" t="s">
        <v>4</v>
      </c>
      <c r="AU161" s="6" t="s">
        <v>365</v>
      </c>
      <c r="AY161" s="7" t="s">
        <v>3</v>
      </c>
      <c r="BE161" s="8">
        <f t="shared" si="4"/>
        <v>0</v>
      </c>
      <c r="BF161" s="8">
        <f t="shared" si="5"/>
        <v>0</v>
      </c>
      <c r="BG161" s="8">
        <f t="shared" si="6"/>
        <v>0</v>
      </c>
      <c r="BH161" s="8">
        <f t="shared" si="7"/>
        <v>0</v>
      </c>
      <c r="BI161" s="8">
        <f t="shared" si="8"/>
        <v>0</v>
      </c>
      <c r="BJ161" s="7" t="s">
        <v>2</v>
      </c>
      <c r="BK161" s="8">
        <f t="shared" si="9"/>
        <v>0</v>
      </c>
      <c r="BL161" s="7" t="s">
        <v>1</v>
      </c>
      <c r="BM161" s="6" t="s">
        <v>279</v>
      </c>
    </row>
    <row r="162" spans="2:65" s="25" customFormat="1" ht="25.9" customHeight="1">
      <c r="B162" s="32"/>
      <c r="D162" s="27" t="s">
        <v>26</v>
      </c>
      <c r="E162" s="35" t="s">
        <v>603</v>
      </c>
      <c r="F162" s="35" t="s">
        <v>602</v>
      </c>
      <c r="I162" s="34"/>
      <c r="J162" s="33">
        <f>BK162</f>
        <v>0</v>
      </c>
      <c r="L162" s="32"/>
      <c r="M162" s="31"/>
      <c r="P162" s="30">
        <f>P163+SUM(P164:P166)+P169+P184+P193</f>
        <v>0</v>
      </c>
      <c r="R162" s="30">
        <f>R163+SUM(R164:R166)+R169+R184+R193</f>
        <v>0</v>
      </c>
      <c r="T162" s="29">
        <f>T163+SUM(T164:T166)+T169+T184+T193</f>
        <v>0</v>
      </c>
      <c r="AR162" s="27" t="s">
        <v>2</v>
      </c>
      <c r="AT162" s="28" t="s">
        <v>26</v>
      </c>
      <c r="AU162" s="28" t="s">
        <v>25</v>
      </c>
      <c r="AY162" s="27" t="s">
        <v>3</v>
      </c>
      <c r="BK162" s="26">
        <f>BK163+SUM(BK164:BK166)+BK169+BK184+BK193</f>
        <v>0</v>
      </c>
    </row>
    <row r="163" spans="2:65" s="2" customFormat="1" ht="24.2" customHeight="1">
      <c r="B163" s="3"/>
      <c r="C163" s="20" t="s">
        <v>320</v>
      </c>
      <c r="D163" s="20" t="s">
        <v>4</v>
      </c>
      <c r="E163" s="19" t="s">
        <v>601</v>
      </c>
      <c r="F163" s="14" t="s">
        <v>600</v>
      </c>
      <c r="G163" s="18" t="s">
        <v>8</v>
      </c>
      <c r="H163" s="17">
        <v>1</v>
      </c>
      <c r="I163" s="16"/>
      <c r="J163" s="15">
        <f>ROUND(I163*H163,2)</f>
        <v>0</v>
      </c>
      <c r="K163" s="14" t="s">
        <v>7</v>
      </c>
      <c r="L163" s="3"/>
      <c r="M163" s="24" t="s">
        <v>6</v>
      </c>
      <c r="N163" s="23" t="s">
        <v>5</v>
      </c>
      <c r="P163" s="22">
        <f>O163*H163</f>
        <v>0</v>
      </c>
      <c r="Q163" s="22">
        <v>0</v>
      </c>
      <c r="R163" s="22">
        <f>Q163*H163</f>
        <v>0</v>
      </c>
      <c r="S163" s="22">
        <v>0</v>
      </c>
      <c r="T163" s="21">
        <f>S163*H163</f>
        <v>0</v>
      </c>
      <c r="AR163" s="6" t="s">
        <v>1</v>
      </c>
      <c r="AT163" s="6" t="s">
        <v>4</v>
      </c>
      <c r="AU163" s="6" t="s">
        <v>2</v>
      </c>
      <c r="AY163" s="7" t="s">
        <v>3</v>
      </c>
      <c r="BE163" s="8">
        <f>IF(N163="základní",J163,0)</f>
        <v>0</v>
      </c>
      <c r="BF163" s="8">
        <f>IF(N163="snížená",J163,0)</f>
        <v>0</v>
      </c>
      <c r="BG163" s="8">
        <f>IF(N163="zákl. přenesená",J163,0)</f>
        <v>0</v>
      </c>
      <c r="BH163" s="8">
        <f>IF(N163="sníž. přenesená",J163,0)</f>
        <v>0</v>
      </c>
      <c r="BI163" s="8">
        <f>IF(N163="nulová",J163,0)</f>
        <v>0</v>
      </c>
      <c r="BJ163" s="7" t="s">
        <v>2</v>
      </c>
      <c r="BK163" s="8">
        <f>ROUND(I163*H163,2)</f>
        <v>0</v>
      </c>
      <c r="BL163" s="7" t="s">
        <v>1</v>
      </c>
      <c r="BM163" s="6" t="s">
        <v>275</v>
      </c>
    </row>
    <row r="164" spans="2:65" s="2" customFormat="1" ht="78">
      <c r="B164" s="3"/>
      <c r="D164" s="96" t="s">
        <v>442</v>
      </c>
      <c r="F164" s="95" t="s">
        <v>599</v>
      </c>
      <c r="I164" s="94"/>
      <c r="L164" s="3"/>
      <c r="M164" s="100"/>
      <c r="T164" s="99"/>
      <c r="AT164" s="7" t="s">
        <v>442</v>
      </c>
      <c r="AU164" s="7" t="s">
        <v>2</v>
      </c>
    </row>
    <row r="165" spans="2:65" s="2" customFormat="1" ht="16.5" customHeight="1">
      <c r="B165" s="3"/>
      <c r="C165" s="20" t="s">
        <v>317</v>
      </c>
      <c r="D165" s="20" t="s">
        <v>4</v>
      </c>
      <c r="E165" s="19" t="s">
        <v>598</v>
      </c>
      <c r="F165" s="14" t="s">
        <v>597</v>
      </c>
      <c r="G165" s="18" t="s">
        <v>8</v>
      </c>
      <c r="H165" s="17">
        <v>1</v>
      </c>
      <c r="I165" s="16"/>
      <c r="J165" s="15">
        <f>ROUND(I165*H165,2)</f>
        <v>0</v>
      </c>
      <c r="K165" s="14" t="s">
        <v>7</v>
      </c>
      <c r="L165" s="3"/>
      <c r="M165" s="24" t="s">
        <v>6</v>
      </c>
      <c r="N165" s="23" t="s">
        <v>5</v>
      </c>
      <c r="P165" s="22">
        <f>O165*H165</f>
        <v>0</v>
      </c>
      <c r="Q165" s="22">
        <v>0</v>
      </c>
      <c r="R165" s="22">
        <f>Q165*H165</f>
        <v>0</v>
      </c>
      <c r="S165" s="22">
        <v>0</v>
      </c>
      <c r="T165" s="21">
        <f>S165*H165</f>
        <v>0</v>
      </c>
      <c r="AR165" s="6" t="s">
        <v>1</v>
      </c>
      <c r="AT165" s="6" t="s">
        <v>4</v>
      </c>
      <c r="AU165" s="6" t="s">
        <v>2</v>
      </c>
      <c r="AY165" s="7" t="s">
        <v>3</v>
      </c>
      <c r="BE165" s="8">
        <f>IF(N165="základní",J165,0)</f>
        <v>0</v>
      </c>
      <c r="BF165" s="8">
        <f>IF(N165="snížená",J165,0)</f>
        <v>0</v>
      </c>
      <c r="BG165" s="8">
        <f>IF(N165="zákl. přenesená",J165,0)</f>
        <v>0</v>
      </c>
      <c r="BH165" s="8">
        <f>IF(N165="sníž. přenesená",J165,0)</f>
        <v>0</v>
      </c>
      <c r="BI165" s="8">
        <f>IF(N165="nulová",J165,0)</f>
        <v>0</v>
      </c>
      <c r="BJ165" s="7" t="s">
        <v>2</v>
      </c>
      <c r="BK165" s="8">
        <f>ROUND(I165*H165,2)</f>
        <v>0</v>
      </c>
      <c r="BL165" s="7" t="s">
        <v>1</v>
      </c>
      <c r="BM165" s="6" t="s">
        <v>270</v>
      </c>
    </row>
    <row r="166" spans="2:65" s="25" customFormat="1" ht="22.9" customHeight="1">
      <c r="B166" s="32"/>
      <c r="D166" s="27" t="s">
        <v>26</v>
      </c>
      <c r="E166" s="98" t="s">
        <v>596</v>
      </c>
      <c r="F166" s="98" t="s">
        <v>595</v>
      </c>
      <c r="I166" s="34"/>
      <c r="J166" s="97">
        <f>BK166</f>
        <v>0</v>
      </c>
      <c r="L166" s="32"/>
      <c r="M166" s="31"/>
      <c r="P166" s="30">
        <f>SUM(P167:P168)</f>
        <v>0</v>
      </c>
      <c r="R166" s="30">
        <f>SUM(R167:R168)</f>
        <v>0</v>
      </c>
      <c r="T166" s="29">
        <f>SUM(T167:T168)</f>
        <v>0</v>
      </c>
      <c r="AR166" s="27" t="s">
        <v>2</v>
      </c>
      <c r="AT166" s="28" t="s">
        <v>26</v>
      </c>
      <c r="AU166" s="28" t="s">
        <v>2</v>
      </c>
      <c r="AY166" s="27" t="s">
        <v>3</v>
      </c>
      <c r="BK166" s="26">
        <f>SUM(BK167:BK168)</f>
        <v>0</v>
      </c>
    </row>
    <row r="167" spans="2:65" s="2" customFormat="1" ht="24.2" customHeight="1">
      <c r="B167" s="3"/>
      <c r="C167" s="20" t="s">
        <v>314</v>
      </c>
      <c r="D167" s="20" t="s">
        <v>4</v>
      </c>
      <c r="E167" s="19" t="s">
        <v>594</v>
      </c>
      <c r="F167" s="14" t="s">
        <v>593</v>
      </c>
      <c r="G167" s="18" t="s">
        <v>8</v>
      </c>
      <c r="H167" s="17">
        <v>2</v>
      </c>
      <c r="I167" s="16"/>
      <c r="J167" s="15">
        <f>ROUND(I167*H167,2)</f>
        <v>0</v>
      </c>
      <c r="K167" s="14" t="s">
        <v>7</v>
      </c>
      <c r="L167" s="3"/>
      <c r="M167" s="24" t="s">
        <v>6</v>
      </c>
      <c r="N167" s="23" t="s">
        <v>5</v>
      </c>
      <c r="P167" s="22">
        <f>O167*H167</f>
        <v>0</v>
      </c>
      <c r="Q167" s="22">
        <v>0</v>
      </c>
      <c r="R167" s="22">
        <f>Q167*H167</f>
        <v>0</v>
      </c>
      <c r="S167" s="22">
        <v>0</v>
      </c>
      <c r="T167" s="21">
        <f>S167*H167</f>
        <v>0</v>
      </c>
      <c r="AR167" s="6" t="s">
        <v>1</v>
      </c>
      <c r="AT167" s="6" t="s">
        <v>4</v>
      </c>
      <c r="AU167" s="6" t="s">
        <v>365</v>
      </c>
      <c r="AY167" s="7" t="s">
        <v>3</v>
      </c>
      <c r="BE167" s="8">
        <f>IF(N167="základní",J167,0)</f>
        <v>0</v>
      </c>
      <c r="BF167" s="8">
        <f>IF(N167="snížená",J167,0)</f>
        <v>0</v>
      </c>
      <c r="BG167" s="8">
        <f>IF(N167="zákl. přenesená",J167,0)</f>
        <v>0</v>
      </c>
      <c r="BH167" s="8">
        <f>IF(N167="sníž. přenesená",J167,0)</f>
        <v>0</v>
      </c>
      <c r="BI167" s="8">
        <f>IF(N167="nulová",J167,0)</f>
        <v>0</v>
      </c>
      <c r="BJ167" s="7" t="s">
        <v>2</v>
      </c>
      <c r="BK167" s="8">
        <f>ROUND(I167*H167,2)</f>
        <v>0</v>
      </c>
      <c r="BL167" s="7" t="s">
        <v>1</v>
      </c>
      <c r="BM167" s="6" t="s">
        <v>263</v>
      </c>
    </row>
    <row r="168" spans="2:65" s="2" customFormat="1" ht="39">
      <c r="B168" s="3"/>
      <c r="D168" s="96" t="s">
        <v>442</v>
      </c>
      <c r="F168" s="95" t="s">
        <v>592</v>
      </c>
      <c r="I168" s="94"/>
      <c r="L168" s="3"/>
      <c r="M168" s="100"/>
      <c r="T168" s="99"/>
      <c r="AT168" s="7" t="s">
        <v>442</v>
      </c>
      <c r="AU168" s="7" t="s">
        <v>365</v>
      </c>
    </row>
    <row r="169" spans="2:65" s="25" customFormat="1" ht="22.9" customHeight="1">
      <c r="B169" s="32"/>
      <c r="D169" s="27" t="s">
        <v>26</v>
      </c>
      <c r="E169" s="98" t="s">
        <v>591</v>
      </c>
      <c r="F169" s="98" t="s">
        <v>590</v>
      </c>
      <c r="I169" s="34"/>
      <c r="J169" s="97">
        <f>BK169</f>
        <v>0</v>
      </c>
      <c r="L169" s="32"/>
      <c r="M169" s="31"/>
      <c r="P169" s="30">
        <f>SUM(P170:P183)</f>
        <v>0</v>
      </c>
      <c r="R169" s="30">
        <f>SUM(R170:R183)</f>
        <v>0</v>
      </c>
      <c r="T169" s="29">
        <f>SUM(T170:T183)</f>
        <v>0</v>
      </c>
      <c r="AR169" s="27" t="s">
        <v>2</v>
      </c>
      <c r="AT169" s="28" t="s">
        <v>26</v>
      </c>
      <c r="AU169" s="28" t="s">
        <v>2</v>
      </c>
      <c r="AY169" s="27" t="s">
        <v>3</v>
      </c>
      <c r="BK169" s="26">
        <f>SUM(BK170:BK183)</f>
        <v>0</v>
      </c>
    </row>
    <row r="170" spans="2:65" s="2" customFormat="1" ht="16.5" customHeight="1">
      <c r="B170" s="3"/>
      <c r="C170" s="20" t="s">
        <v>311</v>
      </c>
      <c r="D170" s="20" t="s">
        <v>4</v>
      </c>
      <c r="E170" s="19" t="s">
        <v>589</v>
      </c>
      <c r="F170" s="14" t="s">
        <v>588</v>
      </c>
      <c r="G170" s="18" t="s">
        <v>8</v>
      </c>
      <c r="H170" s="17">
        <v>1</v>
      </c>
      <c r="I170" s="16"/>
      <c r="J170" s="15">
        <f t="shared" ref="J170:J183" si="10">ROUND(I170*H170,2)</f>
        <v>0</v>
      </c>
      <c r="K170" s="14" t="s">
        <v>7</v>
      </c>
      <c r="L170" s="3"/>
      <c r="M170" s="24" t="s">
        <v>6</v>
      </c>
      <c r="N170" s="23" t="s">
        <v>5</v>
      </c>
      <c r="P170" s="22">
        <f t="shared" ref="P170:P183" si="11">O170*H170</f>
        <v>0</v>
      </c>
      <c r="Q170" s="22">
        <v>0</v>
      </c>
      <c r="R170" s="22">
        <f t="shared" ref="R170:R183" si="12">Q170*H170</f>
        <v>0</v>
      </c>
      <c r="S170" s="22">
        <v>0</v>
      </c>
      <c r="T170" s="21">
        <f t="shared" ref="T170:T183" si="13">S170*H170</f>
        <v>0</v>
      </c>
      <c r="AR170" s="6" t="s">
        <v>1</v>
      </c>
      <c r="AT170" s="6" t="s">
        <v>4</v>
      </c>
      <c r="AU170" s="6" t="s">
        <v>365</v>
      </c>
      <c r="AY170" s="7" t="s">
        <v>3</v>
      </c>
      <c r="BE170" s="8">
        <f t="shared" ref="BE170:BE183" si="14">IF(N170="základní",J170,0)</f>
        <v>0</v>
      </c>
      <c r="BF170" s="8">
        <f t="shared" ref="BF170:BF183" si="15">IF(N170="snížená",J170,0)</f>
        <v>0</v>
      </c>
      <c r="BG170" s="8">
        <f t="shared" ref="BG170:BG183" si="16">IF(N170="zákl. přenesená",J170,0)</f>
        <v>0</v>
      </c>
      <c r="BH170" s="8">
        <f t="shared" ref="BH170:BH183" si="17">IF(N170="sníž. přenesená",J170,0)</f>
        <v>0</v>
      </c>
      <c r="BI170" s="8">
        <f t="shared" ref="BI170:BI183" si="18">IF(N170="nulová",J170,0)</f>
        <v>0</v>
      </c>
      <c r="BJ170" s="7" t="s">
        <v>2</v>
      </c>
      <c r="BK170" s="8">
        <f t="shared" ref="BK170:BK183" si="19">ROUND(I170*H170,2)</f>
        <v>0</v>
      </c>
      <c r="BL170" s="7" t="s">
        <v>1</v>
      </c>
      <c r="BM170" s="6" t="s">
        <v>257</v>
      </c>
    </row>
    <row r="171" spans="2:65" s="2" customFormat="1" ht="16.5" customHeight="1">
      <c r="B171" s="3"/>
      <c r="C171" s="20" t="s">
        <v>308</v>
      </c>
      <c r="D171" s="20" t="s">
        <v>4</v>
      </c>
      <c r="E171" s="19" t="s">
        <v>587</v>
      </c>
      <c r="F171" s="14" t="s">
        <v>586</v>
      </c>
      <c r="G171" s="18" t="s">
        <v>8</v>
      </c>
      <c r="H171" s="17">
        <v>3</v>
      </c>
      <c r="I171" s="16"/>
      <c r="J171" s="15">
        <f t="shared" si="10"/>
        <v>0</v>
      </c>
      <c r="K171" s="14" t="s">
        <v>7</v>
      </c>
      <c r="L171" s="3"/>
      <c r="M171" s="24" t="s">
        <v>6</v>
      </c>
      <c r="N171" s="23" t="s">
        <v>5</v>
      </c>
      <c r="P171" s="22">
        <f t="shared" si="11"/>
        <v>0</v>
      </c>
      <c r="Q171" s="22">
        <v>0</v>
      </c>
      <c r="R171" s="22">
        <f t="shared" si="12"/>
        <v>0</v>
      </c>
      <c r="S171" s="22">
        <v>0</v>
      </c>
      <c r="T171" s="21">
        <f t="shared" si="13"/>
        <v>0</v>
      </c>
      <c r="AR171" s="6" t="s">
        <v>1</v>
      </c>
      <c r="AT171" s="6" t="s">
        <v>4</v>
      </c>
      <c r="AU171" s="6" t="s">
        <v>365</v>
      </c>
      <c r="AY171" s="7" t="s">
        <v>3</v>
      </c>
      <c r="BE171" s="8">
        <f t="shared" si="14"/>
        <v>0</v>
      </c>
      <c r="BF171" s="8">
        <f t="shared" si="15"/>
        <v>0</v>
      </c>
      <c r="BG171" s="8">
        <f t="shared" si="16"/>
        <v>0</v>
      </c>
      <c r="BH171" s="8">
        <f t="shared" si="17"/>
        <v>0</v>
      </c>
      <c r="BI171" s="8">
        <f t="shared" si="18"/>
        <v>0</v>
      </c>
      <c r="BJ171" s="7" t="s">
        <v>2</v>
      </c>
      <c r="BK171" s="8">
        <f t="shared" si="19"/>
        <v>0</v>
      </c>
      <c r="BL171" s="7" t="s">
        <v>1</v>
      </c>
      <c r="BM171" s="6" t="s">
        <v>251</v>
      </c>
    </row>
    <row r="172" spans="2:65" s="2" customFormat="1" ht="16.5" customHeight="1">
      <c r="B172" s="3"/>
      <c r="C172" s="20" t="s">
        <v>305</v>
      </c>
      <c r="D172" s="20" t="s">
        <v>4</v>
      </c>
      <c r="E172" s="19" t="s">
        <v>585</v>
      </c>
      <c r="F172" s="14" t="s">
        <v>584</v>
      </c>
      <c r="G172" s="18" t="s">
        <v>8</v>
      </c>
      <c r="H172" s="17">
        <v>1</v>
      </c>
      <c r="I172" s="16"/>
      <c r="J172" s="15">
        <f t="shared" si="10"/>
        <v>0</v>
      </c>
      <c r="K172" s="14" t="s">
        <v>7</v>
      </c>
      <c r="L172" s="3"/>
      <c r="M172" s="24" t="s">
        <v>6</v>
      </c>
      <c r="N172" s="23" t="s">
        <v>5</v>
      </c>
      <c r="P172" s="22">
        <f t="shared" si="11"/>
        <v>0</v>
      </c>
      <c r="Q172" s="22">
        <v>0</v>
      </c>
      <c r="R172" s="22">
        <f t="shared" si="12"/>
        <v>0</v>
      </c>
      <c r="S172" s="22">
        <v>0</v>
      </c>
      <c r="T172" s="21">
        <f t="shared" si="13"/>
        <v>0</v>
      </c>
      <c r="AR172" s="6" t="s">
        <v>1</v>
      </c>
      <c r="AT172" s="6" t="s">
        <v>4</v>
      </c>
      <c r="AU172" s="6" t="s">
        <v>365</v>
      </c>
      <c r="AY172" s="7" t="s">
        <v>3</v>
      </c>
      <c r="BE172" s="8">
        <f t="shared" si="14"/>
        <v>0</v>
      </c>
      <c r="BF172" s="8">
        <f t="shared" si="15"/>
        <v>0</v>
      </c>
      <c r="BG172" s="8">
        <f t="shared" si="16"/>
        <v>0</v>
      </c>
      <c r="BH172" s="8">
        <f t="shared" si="17"/>
        <v>0</v>
      </c>
      <c r="BI172" s="8">
        <f t="shared" si="18"/>
        <v>0</v>
      </c>
      <c r="BJ172" s="7" t="s">
        <v>2</v>
      </c>
      <c r="BK172" s="8">
        <f t="shared" si="19"/>
        <v>0</v>
      </c>
      <c r="BL172" s="7" t="s">
        <v>1</v>
      </c>
      <c r="BM172" s="6" t="s">
        <v>245</v>
      </c>
    </row>
    <row r="173" spans="2:65" s="2" customFormat="1" ht="16.5" customHeight="1">
      <c r="B173" s="3"/>
      <c r="C173" s="20" t="s">
        <v>300</v>
      </c>
      <c r="D173" s="20" t="s">
        <v>4</v>
      </c>
      <c r="E173" s="19" t="s">
        <v>583</v>
      </c>
      <c r="F173" s="14" t="s">
        <v>582</v>
      </c>
      <c r="G173" s="18" t="s">
        <v>8</v>
      </c>
      <c r="H173" s="17">
        <v>1</v>
      </c>
      <c r="I173" s="16"/>
      <c r="J173" s="15">
        <f t="shared" si="10"/>
        <v>0</v>
      </c>
      <c r="K173" s="14" t="s">
        <v>7</v>
      </c>
      <c r="L173" s="3"/>
      <c r="M173" s="24" t="s">
        <v>6</v>
      </c>
      <c r="N173" s="23" t="s">
        <v>5</v>
      </c>
      <c r="P173" s="22">
        <f t="shared" si="11"/>
        <v>0</v>
      </c>
      <c r="Q173" s="22">
        <v>0</v>
      </c>
      <c r="R173" s="22">
        <f t="shared" si="12"/>
        <v>0</v>
      </c>
      <c r="S173" s="22">
        <v>0</v>
      </c>
      <c r="T173" s="21">
        <f t="shared" si="13"/>
        <v>0</v>
      </c>
      <c r="AR173" s="6" t="s">
        <v>1</v>
      </c>
      <c r="AT173" s="6" t="s">
        <v>4</v>
      </c>
      <c r="AU173" s="6" t="s">
        <v>365</v>
      </c>
      <c r="AY173" s="7" t="s">
        <v>3</v>
      </c>
      <c r="BE173" s="8">
        <f t="shared" si="14"/>
        <v>0</v>
      </c>
      <c r="BF173" s="8">
        <f t="shared" si="15"/>
        <v>0</v>
      </c>
      <c r="BG173" s="8">
        <f t="shared" si="16"/>
        <v>0</v>
      </c>
      <c r="BH173" s="8">
        <f t="shared" si="17"/>
        <v>0</v>
      </c>
      <c r="BI173" s="8">
        <f t="shared" si="18"/>
        <v>0</v>
      </c>
      <c r="BJ173" s="7" t="s">
        <v>2</v>
      </c>
      <c r="BK173" s="8">
        <f t="shared" si="19"/>
        <v>0</v>
      </c>
      <c r="BL173" s="7" t="s">
        <v>1</v>
      </c>
      <c r="BM173" s="6" t="s">
        <v>239</v>
      </c>
    </row>
    <row r="174" spans="2:65" s="2" customFormat="1" ht="16.5" customHeight="1">
      <c r="B174" s="3"/>
      <c r="C174" s="20" t="s">
        <v>298</v>
      </c>
      <c r="D174" s="20" t="s">
        <v>4</v>
      </c>
      <c r="E174" s="19" t="s">
        <v>581</v>
      </c>
      <c r="F174" s="14" t="s">
        <v>580</v>
      </c>
      <c r="G174" s="18" t="s">
        <v>8</v>
      </c>
      <c r="H174" s="17">
        <v>3</v>
      </c>
      <c r="I174" s="16"/>
      <c r="J174" s="15">
        <f t="shared" si="10"/>
        <v>0</v>
      </c>
      <c r="K174" s="14" t="s">
        <v>7</v>
      </c>
      <c r="L174" s="3"/>
      <c r="M174" s="24" t="s">
        <v>6</v>
      </c>
      <c r="N174" s="23" t="s">
        <v>5</v>
      </c>
      <c r="P174" s="22">
        <f t="shared" si="11"/>
        <v>0</v>
      </c>
      <c r="Q174" s="22">
        <v>0</v>
      </c>
      <c r="R174" s="22">
        <f t="shared" si="12"/>
        <v>0</v>
      </c>
      <c r="S174" s="22">
        <v>0</v>
      </c>
      <c r="T174" s="21">
        <f t="shared" si="13"/>
        <v>0</v>
      </c>
      <c r="AR174" s="6" t="s">
        <v>1</v>
      </c>
      <c r="AT174" s="6" t="s">
        <v>4</v>
      </c>
      <c r="AU174" s="6" t="s">
        <v>365</v>
      </c>
      <c r="AY174" s="7" t="s">
        <v>3</v>
      </c>
      <c r="BE174" s="8">
        <f t="shared" si="14"/>
        <v>0</v>
      </c>
      <c r="BF174" s="8">
        <f t="shared" si="15"/>
        <v>0</v>
      </c>
      <c r="BG174" s="8">
        <f t="shared" si="16"/>
        <v>0</v>
      </c>
      <c r="BH174" s="8">
        <f t="shared" si="17"/>
        <v>0</v>
      </c>
      <c r="BI174" s="8">
        <f t="shared" si="18"/>
        <v>0</v>
      </c>
      <c r="BJ174" s="7" t="s">
        <v>2</v>
      </c>
      <c r="BK174" s="8">
        <f t="shared" si="19"/>
        <v>0</v>
      </c>
      <c r="BL174" s="7" t="s">
        <v>1</v>
      </c>
      <c r="BM174" s="6" t="s">
        <v>233</v>
      </c>
    </row>
    <row r="175" spans="2:65" s="2" customFormat="1" ht="16.5" customHeight="1">
      <c r="B175" s="3"/>
      <c r="C175" s="20" t="s">
        <v>296</v>
      </c>
      <c r="D175" s="20" t="s">
        <v>4</v>
      </c>
      <c r="E175" s="19" t="s">
        <v>579</v>
      </c>
      <c r="F175" s="14" t="s">
        <v>578</v>
      </c>
      <c r="G175" s="18" t="s">
        <v>8</v>
      </c>
      <c r="H175" s="17">
        <v>1</v>
      </c>
      <c r="I175" s="16"/>
      <c r="J175" s="15">
        <f t="shared" si="10"/>
        <v>0</v>
      </c>
      <c r="K175" s="14" t="s">
        <v>7</v>
      </c>
      <c r="L175" s="3"/>
      <c r="M175" s="24" t="s">
        <v>6</v>
      </c>
      <c r="N175" s="23" t="s">
        <v>5</v>
      </c>
      <c r="P175" s="22">
        <f t="shared" si="11"/>
        <v>0</v>
      </c>
      <c r="Q175" s="22">
        <v>0</v>
      </c>
      <c r="R175" s="22">
        <f t="shared" si="12"/>
        <v>0</v>
      </c>
      <c r="S175" s="22">
        <v>0</v>
      </c>
      <c r="T175" s="21">
        <f t="shared" si="13"/>
        <v>0</v>
      </c>
      <c r="AR175" s="6" t="s">
        <v>1</v>
      </c>
      <c r="AT175" s="6" t="s">
        <v>4</v>
      </c>
      <c r="AU175" s="6" t="s">
        <v>365</v>
      </c>
      <c r="AY175" s="7" t="s">
        <v>3</v>
      </c>
      <c r="BE175" s="8">
        <f t="shared" si="14"/>
        <v>0</v>
      </c>
      <c r="BF175" s="8">
        <f t="shared" si="15"/>
        <v>0</v>
      </c>
      <c r="BG175" s="8">
        <f t="shared" si="16"/>
        <v>0</v>
      </c>
      <c r="BH175" s="8">
        <f t="shared" si="17"/>
        <v>0</v>
      </c>
      <c r="BI175" s="8">
        <f t="shared" si="18"/>
        <v>0</v>
      </c>
      <c r="BJ175" s="7" t="s">
        <v>2</v>
      </c>
      <c r="BK175" s="8">
        <f t="shared" si="19"/>
        <v>0</v>
      </c>
      <c r="BL175" s="7" t="s">
        <v>1</v>
      </c>
      <c r="BM175" s="6" t="s">
        <v>225</v>
      </c>
    </row>
    <row r="176" spans="2:65" s="2" customFormat="1" ht="16.5" customHeight="1">
      <c r="B176" s="3"/>
      <c r="C176" s="20" t="s">
        <v>294</v>
      </c>
      <c r="D176" s="20" t="s">
        <v>4</v>
      </c>
      <c r="E176" s="19" t="s">
        <v>577</v>
      </c>
      <c r="F176" s="14" t="s">
        <v>576</v>
      </c>
      <c r="G176" s="18" t="s">
        <v>8</v>
      </c>
      <c r="H176" s="17">
        <v>2</v>
      </c>
      <c r="I176" s="16"/>
      <c r="J176" s="15">
        <f t="shared" si="10"/>
        <v>0</v>
      </c>
      <c r="K176" s="14" t="s">
        <v>7</v>
      </c>
      <c r="L176" s="3"/>
      <c r="M176" s="24" t="s">
        <v>6</v>
      </c>
      <c r="N176" s="23" t="s">
        <v>5</v>
      </c>
      <c r="P176" s="22">
        <f t="shared" si="11"/>
        <v>0</v>
      </c>
      <c r="Q176" s="22">
        <v>0</v>
      </c>
      <c r="R176" s="22">
        <f t="shared" si="12"/>
        <v>0</v>
      </c>
      <c r="S176" s="22">
        <v>0</v>
      </c>
      <c r="T176" s="21">
        <f t="shared" si="13"/>
        <v>0</v>
      </c>
      <c r="AR176" s="6" t="s">
        <v>1</v>
      </c>
      <c r="AT176" s="6" t="s">
        <v>4</v>
      </c>
      <c r="AU176" s="6" t="s">
        <v>365</v>
      </c>
      <c r="AY176" s="7" t="s">
        <v>3</v>
      </c>
      <c r="BE176" s="8">
        <f t="shared" si="14"/>
        <v>0</v>
      </c>
      <c r="BF176" s="8">
        <f t="shared" si="15"/>
        <v>0</v>
      </c>
      <c r="BG176" s="8">
        <f t="shared" si="16"/>
        <v>0</v>
      </c>
      <c r="BH176" s="8">
        <f t="shared" si="17"/>
        <v>0</v>
      </c>
      <c r="BI176" s="8">
        <f t="shared" si="18"/>
        <v>0</v>
      </c>
      <c r="BJ176" s="7" t="s">
        <v>2</v>
      </c>
      <c r="BK176" s="8">
        <f t="shared" si="19"/>
        <v>0</v>
      </c>
      <c r="BL176" s="7" t="s">
        <v>1</v>
      </c>
      <c r="BM176" s="6" t="s">
        <v>218</v>
      </c>
    </row>
    <row r="177" spans="2:65" s="2" customFormat="1" ht="24.2" customHeight="1">
      <c r="B177" s="3"/>
      <c r="C177" s="20" t="s">
        <v>292</v>
      </c>
      <c r="D177" s="20" t="s">
        <v>4</v>
      </c>
      <c r="E177" s="19" t="s">
        <v>575</v>
      </c>
      <c r="F177" s="14" t="s">
        <v>574</v>
      </c>
      <c r="G177" s="18" t="s">
        <v>8</v>
      </c>
      <c r="H177" s="17">
        <v>2</v>
      </c>
      <c r="I177" s="16"/>
      <c r="J177" s="15">
        <f t="shared" si="10"/>
        <v>0</v>
      </c>
      <c r="K177" s="14" t="s">
        <v>7</v>
      </c>
      <c r="L177" s="3"/>
      <c r="M177" s="24" t="s">
        <v>6</v>
      </c>
      <c r="N177" s="23" t="s">
        <v>5</v>
      </c>
      <c r="P177" s="22">
        <f t="shared" si="11"/>
        <v>0</v>
      </c>
      <c r="Q177" s="22">
        <v>0</v>
      </c>
      <c r="R177" s="22">
        <f t="shared" si="12"/>
        <v>0</v>
      </c>
      <c r="S177" s="22">
        <v>0</v>
      </c>
      <c r="T177" s="21">
        <f t="shared" si="13"/>
        <v>0</v>
      </c>
      <c r="AR177" s="6" t="s">
        <v>1</v>
      </c>
      <c r="AT177" s="6" t="s">
        <v>4</v>
      </c>
      <c r="AU177" s="6" t="s">
        <v>365</v>
      </c>
      <c r="AY177" s="7" t="s">
        <v>3</v>
      </c>
      <c r="BE177" s="8">
        <f t="shared" si="14"/>
        <v>0</v>
      </c>
      <c r="BF177" s="8">
        <f t="shared" si="15"/>
        <v>0</v>
      </c>
      <c r="BG177" s="8">
        <f t="shared" si="16"/>
        <v>0</v>
      </c>
      <c r="BH177" s="8">
        <f t="shared" si="17"/>
        <v>0</v>
      </c>
      <c r="BI177" s="8">
        <f t="shared" si="18"/>
        <v>0</v>
      </c>
      <c r="BJ177" s="7" t="s">
        <v>2</v>
      </c>
      <c r="BK177" s="8">
        <f t="shared" si="19"/>
        <v>0</v>
      </c>
      <c r="BL177" s="7" t="s">
        <v>1</v>
      </c>
      <c r="BM177" s="6" t="s">
        <v>210</v>
      </c>
    </row>
    <row r="178" spans="2:65" s="2" customFormat="1" ht="16.5" customHeight="1">
      <c r="B178" s="3"/>
      <c r="C178" s="20" t="s">
        <v>290</v>
      </c>
      <c r="D178" s="20" t="s">
        <v>4</v>
      </c>
      <c r="E178" s="19" t="s">
        <v>573</v>
      </c>
      <c r="F178" s="14" t="s">
        <v>572</v>
      </c>
      <c r="G178" s="18" t="s">
        <v>8</v>
      </c>
      <c r="H178" s="17">
        <v>1</v>
      </c>
      <c r="I178" s="16"/>
      <c r="J178" s="15">
        <f t="shared" si="10"/>
        <v>0</v>
      </c>
      <c r="K178" s="14" t="s">
        <v>7</v>
      </c>
      <c r="L178" s="3"/>
      <c r="M178" s="24" t="s">
        <v>6</v>
      </c>
      <c r="N178" s="23" t="s">
        <v>5</v>
      </c>
      <c r="P178" s="22">
        <f t="shared" si="11"/>
        <v>0</v>
      </c>
      <c r="Q178" s="22">
        <v>0</v>
      </c>
      <c r="R178" s="22">
        <f t="shared" si="12"/>
        <v>0</v>
      </c>
      <c r="S178" s="22">
        <v>0</v>
      </c>
      <c r="T178" s="21">
        <f t="shared" si="13"/>
        <v>0</v>
      </c>
      <c r="AR178" s="6" t="s">
        <v>1</v>
      </c>
      <c r="AT178" s="6" t="s">
        <v>4</v>
      </c>
      <c r="AU178" s="6" t="s">
        <v>365</v>
      </c>
      <c r="AY178" s="7" t="s">
        <v>3</v>
      </c>
      <c r="BE178" s="8">
        <f t="shared" si="14"/>
        <v>0</v>
      </c>
      <c r="BF178" s="8">
        <f t="shared" si="15"/>
        <v>0</v>
      </c>
      <c r="BG178" s="8">
        <f t="shared" si="16"/>
        <v>0</v>
      </c>
      <c r="BH178" s="8">
        <f t="shared" si="17"/>
        <v>0</v>
      </c>
      <c r="BI178" s="8">
        <f t="shared" si="18"/>
        <v>0</v>
      </c>
      <c r="BJ178" s="7" t="s">
        <v>2</v>
      </c>
      <c r="BK178" s="8">
        <f t="shared" si="19"/>
        <v>0</v>
      </c>
      <c r="BL178" s="7" t="s">
        <v>1</v>
      </c>
      <c r="BM178" s="6" t="s">
        <v>203</v>
      </c>
    </row>
    <row r="179" spans="2:65" s="2" customFormat="1" ht="16.5" customHeight="1">
      <c r="B179" s="3"/>
      <c r="C179" s="20" t="s">
        <v>288</v>
      </c>
      <c r="D179" s="20" t="s">
        <v>4</v>
      </c>
      <c r="E179" s="19" t="s">
        <v>571</v>
      </c>
      <c r="F179" s="14" t="s">
        <v>570</v>
      </c>
      <c r="G179" s="18" t="s">
        <v>8</v>
      </c>
      <c r="H179" s="17">
        <v>2</v>
      </c>
      <c r="I179" s="16"/>
      <c r="J179" s="15">
        <f t="shared" si="10"/>
        <v>0</v>
      </c>
      <c r="K179" s="14" t="s">
        <v>7</v>
      </c>
      <c r="L179" s="3"/>
      <c r="M179" s="24" t="s">
        <v>6</v>
      </c>
      <c r="N179" s="23" t="s">
        <v>5</v>
      </c>
      <c r="P179" s="22">
        <f t="shared" si="11"/>
        <v>0</v>
      </c>
      <c r="Q179" s="22">
        <v>0</v>
      </c>
      <c r="R179" s="22">
        <f t="shared" si="12"/>
        <v>0</v>
      </c>
      <c r="S179" s="22">
        <v>0</v>
      </c>
      <c r="T179" s="21">
        <f t="shared" si="13"/>
        <v>0</v>
      </c>
      <c r="AR179" s="6" t="s">
        <v>1</v>
      </c>
      <c r="AT179" s="6" t="s">
        <v>4</v>
      </c>
      <c r="AU179" s="6" t="s">
        <v>365</v>
      </c>
      <c r="AY179" s="7" t="s">
        <v>3</v>
      </c>
      <c r="BE179" s="8">
        <f t="shared" si="14"/>
        <v>0</v>
      </c>
      <c r="BF179" s="8">
        <f t="shared" si="15"/>
        <v>0</v>
      </c>
      <c r="BG179" s="8">
        <f t="shared" si="16"/>
        <v>0</v>
      </c>
      <c r="BH179" s="8">
        <f t="shared" si="17"/>
        <v>0</v>
      </c>
      <c r="BI179" s="8">
        <f t="shared" si="18"/>
        <v>0</v>
      </c>
      <c r="BJ179" s="7" t="s">
        <v>2</v>
      </c>
      <c r="BK179" s="8">
        <f t="shared" si="19"/>
        <v>0</v>
      </c>
      <c r="BL179" s="7" t="s">
        <v>1</v>
      </c>
      <c r="BM179" s="6" t="s">
        <v>195</v>
      </c>
    </row>
    <row r="180" spans="2:65" s="2" customFormat="1" ht="16.5" customHeight="1">
      <c r="B180" s="3"/>
      <c r="C180" s="20" t="s">
        <v>286</v>
      </c>
      <c r="D180" s="20" t="s">
        <v>4</v>
      </c>
      <c r="E180" s="19" t="s">
        <v>569</v>
      </c>
      <c r="F180" s="14" t="s">
        <v>568</v>
      </c>
      <c r="G180" s="18" t="s">
        <v>8</v>
      </c>
      <c r="H180" s="17">
        <v>1</v>
      </c>
      <c r="I180" s="16"/>
      <c r="J180" s="15">
        <f t="shared" si="10"/>
        <v>0</v>
      </c>
      <c r="K180" s="14" t="s">
        <v>7</v>
      </c>
      <c r="L180" s="3"/>
      <c r="M180" s="24" t="s">
        <v>6</v>
      </c>
      <c r="N180" s="23" t="s">
        <v>5</v>
      </c>
      <c r="P180" s="22">
        <f t="shared" si="11"/>
        <v>0</v>
      </c>
      <c r="Q180" s="22">
        <v>0</v>
      </c>
      <c r="R180" s="22">
        <f t="shared" si="12"/>
        <v>0</v>
      </c>
      <c r="S180" s="22">
        <v>0</v>
      </c>
      <c r="T180" s="21">
        <f t="shared" si="13"/>
        <v>0</v>
      </c>
      <c r="AR180" s="6" t="s">
        <v>1</v>
      </c>
      <c r="AT180" s="6" t="s">
        <v>4</v>
      </c>
      <c r="AU180" s="6" t="s">
        <v>365</v>
      </c>
      <c r="AY180" s="7" t="s">
        <v>3</v>
      </c>
      <c r="BE180" s="8">
        <f t="shared" si="14"/>
        <v>0</v>
      </c>
      <c r="BF180" s="8">
        <f t="shared" si="15"/>
        <v>0</v>
      </c>
      <c r="BG180" s="8">
        <f t="shared" si="16"/>
        <v>0</v>
      </c>
      <c r="BH180" s="8">
        <f t="shared" si="17"/>
        <v>0</v>
      </c>
      <c r="BI180" s="8">
        <f t="shared" si="18"/>
        <v>0</v>
      </c>
      <c r="BJ180" s="7" t="s">
        <v>2</v>
      </c>
      <c r="BK180" s="8">
        <f t="shared" si="19"/>
        <v>0</v>
      </c>
      <c r="BL180" s="7" t="s">
        <v>1</v>
      </c>
      <c r="BM180" s="6" t="s">
        <v>187</v>
      </c>
    </row>
    <row r="181" spans="2:65" s="2" customFormat="1" ht="16.5" customHeight="1">
      <c r="B181" s="3"/>
      <c r="C181" s="20" t="s">
        <v>283</v>
      </c>
      <c r="D181" s="20" t="s">
        <v>4</v>
      </c>
      <c r="E181" s="19" t="s">
        <v>567</v>
      </c>
      <c r="F181" s="14" t="s">
        <v>566</v>
      </c>
      <c r="G181" s="18" t="s">
        <v>565</v>
      </c>
      <c r="H181" s="17">
        <v>1</v>
      </c>
      <c r="I181" s="16"/>
      <c r="J181" s="15">
        <f t="shared" si="10"/>
        <v>0</v>
      </c>
      <c r="K181" s="14" t="s">
        <v>7</v>
      </c>
      <c r="L181" s="3"/>
      <c r="M181" s="24" t="s">
        <v>6</v>
      </c>
      <c r="N181" s="23" t="s">
        <v>5</v>
      </c>
      <c r="P181" s="22">
        <f t="shared" si="11"/>
        <v>0</v>
      </c>
      <c r="Q181" s="22">
        <v>0</v>
      </c>
      <c r="R181" s="22">
        <f t="shared" si="12"/>
        <v>0</v>
      </c>
      <c r="S181" s="22">
        <v>0</v>
      </c>
      <c r="T181" s="21">
        <f t="shared" si="13"/>
        <v>0</v>
      </c>
      <c r="AR181" s="6" t="s">
        <v>1</v>
      </c>
      <c r="AT181" s="6" t="s">
        <v>4</v>
      </c>
      <c r="AU181" s="6" t="s">
        <v>365</v>
      </c>
      <c r="AY181" s="7" t="s">
        <v>3</v>
      </c>
      <c r="BE181" s="8">
        <f t="shared" si="14"/>
        <v>0</v>
      </c>
      <c r="BF181" s="8">
        <f t="shared" si="15"/>
        <v>0</v>
      </c>
      <c r="BG181" s="8">
        <f t="shared" si="16"/>
        <v>0</v>
      </c>
      <c r="BH181" s="8">
        <f t="shared" si="17"/>
        <v>0</v>
      </c>
      <c r="BI181" s="8">
        <f t="shared" si="18"/>
        <v>0</v>
      </c>
      <c r="BJ181" s="7" t="s">
        <v>2</v>
      </c>
      <c r="BK181" s="8">
        <f t="shared" si="19"/>
        <v>0</v>
      </c>
      <c r="BL181" s="7" t="s">
        <v>1</v>
      </c>
      <c r="BM181" s="6" t="s">
        <v>179</v>
      </c>
    </row>
    <row r="182" spans="2:65" s="2" customFormat="1" ht="16.5" customHeight="1">
      <c r="B182" s="3"/>
      <c r="C182" s="20" t="s">
        <v>281</v>
      </c>
      <c r="D182" s="20" t="s">
        <v>4</v>
      </c>
      <c r="E182" s="19" t="s">
        <v>564</v>
      </c>
      <c r="F182" s="14" t="s">
        <v>563</v>
      </c>
      <c r="G182" s="18" t="s">
        <v>8</v>
      </c>
      <c r="H182" s="17">
        <v>0</v>
      </c>
      <c r="I182" s="16"/>
      <c r="J182" s="15">
        <f t="shared" si="10"/>
        <v>0</v>
      </c>
      <c r="K182" s="14" t="s">
        <v>7</v>
      </c>
      <c r="L182" s="3"/>
      <c r="M182" s="24" t="s">
        <v>6</v>
      </c>
      <c r="N182" s="23" t="s">
        <v>5</v>
      </c>
      <c r="P182" s="22">
        <f t="shared" si="11"/>
        <v>0</v>
      </c>
      <c r="Q182" s="22">
        <v>0</v>
      </c>
      <c r="R182" s="22">
        <f t="shared" si="12"/>
        <v>0</v>
      </c>
      <c r="S182" s="22">
        <v>0</v>
      </c>
      <c r="T182" s="21">
        <f t="shared" si="13"/>
        <v>0</v>
      </c>
      <c r="AR182" s="6" t="s">
        <v>1</v>
      </c>
      <c r="AT182" s="6" t="s">
        <v>4</v>
      </c>
      <c r="AU182" s="6" t="s">
        <v>365</v>
      </c>
      <c r="AY182" s="7" t="s">
        <v>3</v>
      </c>
      <c r="BE182" s="8">
        <f t="shared" si="14"/>
        <v>0</v>
      </c>
      <c r="BF182" s="8">
        <f t="shared" si="15"/>
        <v>0</v>
      </c>
      <c r="BG182" s="8">
        <f t="shared" si="16"/>
        <v>0</v>
      </c>
      <c r="BH182" s="8">
        <f t="shared" si="17"/>
        <v>0</v>
      </c>
      <c r="BI182" s="8">
        <f t="shared" si="18"/>
        <v>0</v>
      </c>
      <c r="BJ182" s="7" t="s">
        <v>2</v>
      </c>
      <c r="BK182" s="8">
        <f t="shared" si="19"/>
        <v>0</v>
      </c>
      <c r="BL182" s="7" t="s">
        <v>1</v>
      </c>
      <c r="BM182" s="6" t="s">
        <v>173</v>
      </c>
    </row>
    <row r="183" spans="2:65" s="2" customFormat="1" ht="16.5" customHeight="1">
      <c r="B183" s="3"/>
      <c r="C183" s="20" t="s">
        <v>279</v>
      </c>
      <c r="D183" s="20" t="s">
        <v>4</v>
      </c>
      <c r="E183" s="19" t="s">
        <v>562</v>
      </c>
      <c r="F183" s="14" t="s">
        <v>561</v>
      </c>
      <c r="G183" s="18" t="s">
        <v>8</v>
      </c>
      <c r="H183" s="17">
        <v>0</v>
      </c>
      <c r="I183" s="16"/>
      <c r="J183" s="15">
        <f t="shared" si="10"/>
        <v>0</v>
      </c>
      <c r="K183" s="14" t="s">
        <v>7</v>
      </c>
      <c r="L183" s="3"/>
      <c r="M183" s="24" t="s">
        <v>6</v>
      </c>
      <c r="N183" s="23" t="s">
        <v>5</v>
      </c>
      <c r="P183" s="22">
        <f t="shared" si="11"/>
        <v>0</v>
      </c>
      <c r="Q183" s="22">
        <v>0</v>
      </c>
      <c r="R183" s="22">
        <f t="shared" si="12"/>
        <v>0</v>
      </c>
      <c r="S183" s="22">
        <v>0</v>
      </c>
      <c r="T183" s="21">
        <f t="shared" si="13"/>
        <v>0</v>
      </c>
      <c r="AR183" s="6" t="s">
        <v>1</v>
      </c>
      <c r="AT183" s="6" t="s">
        <v>4</v>
      </c>
      <c r="AU183" s="6" t="s">
        <v>365</v>
      </c>
      <c r="AY183" s="7" t="s">
        <v>3</v>
      </c>
      <c r="BE183" s="8">
        <f t="shared" si="14"/>
        <v>0</v>
      </c>
      <c r="BF183" s="8">
        <f t="shared" si="15"/>
        <v>0</v>
      </c>
      <c r="BG183" s="8">
        <f t="shared" si="16"/>
        <v>0</v>
      </c>
      <c r="BH183" s="8">
        <f t="shared" si="17"/>
        <v>0</v>
      </c>
      <c r="BI183" s="8">
        <f t="shared" si="18"/>
        <v>0</v>
      </c>
      <c r="BJ183" s="7" t="s">
        <v>2</v>
      </c>
      <c r="BK183" s="8">
        <f t="shared" si="19"/>
        <v>0</v>
      </c>
      <c r="BL183" s="7" t="s">
        <v>1</v>
      </c>
      <c r="BM183" s="6" t="s">
        <v>166</v>
      </c>
    </row>
    <row r="184" spans="2:65" s="25" customFormat="1" ht="22.9" customHeight="1">
      <c r="B184" s="32"/>
      <c r="D184" s="27" t="s">
        <v>26</v>
      </c>
      <c r="E184" s="98" t="s">
        <v>560</v>
      </c>
      <c r="F184" s="98" t="s">
        <v>559</v>
      </c>
      <c r="I184" s="34"/>
      <c r="J184" s="97">
        <f>BK184</f>
        <v>0</v>
      </c>
      <c r="L184" s="32"/>
      <c r="M184" s="31"/>
      <c r="P184" s="30">
        <f>SUM(P185:P192)</f>
        <v>0</v>
      </c>
      <c r="R184" s="30">
        <f>SUM(R185:R192)</f>
        <v>0</v>
      </c>
      <c r="T184" s="29">
        <f>SUM(T185:T192)</f>
        <v>0</v>
      </c>
      <c r="AR184" s="27" t="s">
        <v>2</v>
      </c>
      <c r="AT184" s="28" t="s">
        <v>26</v>
      </c>
      <c r="AU184" s="28" t="s">
        <v>2</v>
      </c>
      <c r="AY184" s="27" t="s">
        <v>3</v>
      </c>
      <c r="BK184" s="26">
        <f>SUM(BK185:BK192)</f>
        <v>0</v>
      </c>
    </row>
    <row r="185" spans="2:65" s="2" customFormat="1" ht="16.5" customHeight="1">
      <c r="B185" s="3"/>
      <c r="C185" s="20" t="s">
        <v>277</v>
      </c>
      <c r="D185" s="20" t="s">
        <v>4</v>
      </c>
      <c r="E185" s="19" t="s">
        <v>558</v>
      </c>
      <c r="F185" s="14" t="s">
        <v>557</v>
      </c>
      <c r="G185" s="18" t="s">
        <v>21</v>
      </c>
      <c r="H185" s="17">
        <v>130</v>
      </c>
      <c r="I185" s="16"/>
      <c r="J185" s="15">
        <f t="shared" ref="J185:J192" si="20">ROUND(I185*H185,2)</f>
        <v>0</v>
      </c>
      <c r="K185" s="14" t="s">
        <v>7</v>
      </c>
      <c r="L185" s="3"/>
      <c r="M185" s="24" t="s">
        <v>6</v>
      </c>
      <c r="N185" s="23" t="s">
        <v>5</v>
      </c>
      <c r="P185" s="22">
        <f t="shared" ref="P185:P192" si="21">O185*H185</f>
        <v>0</v>
      </c>
      <c r="Q185" s="22">
        <v>0</v>
      </c>
      <c r="R185" s="22">
        <f t="shared" ref="R185:R192" si="22">Q185*H185</f>
        <v>0</v>
      </c>
      <c r="S185" s="22">
        <v>0</v>
      </c>
      <c r="T185" s="21">
        <f t="shared" ref="T185:T192" si="23">S185*H185</f>
        <v>0</v>
      </c>
      <c r="AR185" s="6" t="s">
        <v>1</v>
      </c>
      <c r="AT185" s="6" t="s">
        <v>4</v>
      </c>
      <c r="AU185" s="6" t="s">
        <v>365</v>
      </c>
      <c r="AY185" s="7" t="s">
        <v>3</v>
      </c>
      <c r="BE185" s="8">
        <f t="shared" ref="BE185:BE192" si="24">IF(N185="základní",J185,0)</f>
        <v>0</v>
      </c>
      <c r="BF185" s="8">
        <f t="shared" ref="BF185:BF192" si="25">IF(N185="snížená",J185,0)</f>
        <v>0</v>
      </c>
      <c r="BG185" s="8">
        <f t="shared" ref="BG185:BG192" si="26">IF(N185="zákl. přenesená",J185,0)</f>
        <v>0</v>
      </c>
      <c r="BH185" s="8">
        <f t="shared" ref="BH185:BH192" si="27">IF(N185="sníž. přenesená",J185,0)</f>
        <v>0</v>
      </c>
      <c r="BI185" s="8">
        <f t="shared" ref="BI185:BI192" si="28">IF(N185="nulová",J185,0)</f>
        <v>0</v>
      </c>
      <c r="BJ185" s="7" t="s">
        <v>2</v>
      </c>
      <c r="BK185" s="8">
        <f t="shared" ref="BK185:BK192" si="29">ROUND(I185*H185,2)</f>
        <v>0</v>
      </c>
      <c r="BL185" s="7" t="s">
        <v>1</v>
      </c>
      <c r="BM185" s="6" t="s">
        <v>159</v>
      </c>
    </row>
    <row r="186" spans="2:65" s="2" customFormat="1" ht="16.5" customHeight="1">
      <c r="B186" s="3"/>
      <c r="C186" s="20" t="s">
        <v>275</v>
      </c>
      <c r="D186" s="20" t="s">
        <v>4</v>
      </c>
      <c r="E186" s="19" t="s">
        <v>556</v>
      </c>
      <c r="F186" s="14" t="s">
        <v>555</v>
      </c>
      <c r="G186" s="18" t="s">
        <v>21</v>
      </c>
      <c r="H186" s="17">
        <v>40</v>
      </c>
      <c r="I186" s="16"/>
      <c r="J186" s="15">
        <f t="shared" si="20"/>
        <v>0</v>
      </c>
      <c r="K186" s="14" t="s">
        <v>7</v>
      </c>
      <c r="L186" s="3"/>
      <c r="M186" s="24" t="s">
        <v>6</v>
      </c>
      <c r="N186" s="23" t="s">
        <v>5</v>
      </c>
      <c r="P186" s="22">
        <f t="shared" si="21"/>
        <v>0</v>
      </c>
      <c r="Q186" s="22">
        <v>0</v>
      </c>
      <c r="R186" s="22">
        <f t="shared" si="22"/>
        <v>0</v>
      </c>
      <c r="S186" s="22">
        <v>0</v>
      </c>
      <c r="T186" s="21">
        <f t="shared" si="23"/>
        <v>0</v>
      </c>
      <c r="AR186" s="6" t="s">
        <v>1</v>
      </c>
      <c r="AT186" s="6" t="s">
        <v>4</v>
      </c>
      <c r="AU186" s="6" t="s">
        <v>365</v>
      </c>
      <c r="AY186" s="7" t="s">
        <v>3</v>
      </c>
      <c r="BE186" s="8">
        <f t="shared" si="24"/>
        <v>0</v>
      </c>
      <c r="BF186" s="8">
        <f t="shared" si="25"/>
        <v>0</v>
      </c>
      <c r="BG186" s="8">
        <f t="shared" si="26"/>
        <v>0</v>
      </c>
      <c r="BH186" s="8">
        <f t="shared" si="27"/>
        <v>0</v>
      </c>
      <c r="BI186" s="8">
        <f t="shared" si="28"/>
        <v>0</v>
      </c>
      <c r="BJ186" s="7" t="s">
        <v>2</v>
      </c>
      <c r="BK186" s="8">
        <f t="shared" si="29"/>
        <v>0</v>
      </c>
      <c r="BL186" s="7" t="s">
        <v>1</v>
      </c>
      <c r="BM186" s="6" t="s">
        <v>151</v>
      </c>
    </row>
    <row r="187" spans="2:65" s="2" customFormat="1" ht="16.5" customHeight="1">
      <c r="B187" s="3"/>
      <c r="C187" s="20" t="s">
        <v>273</v>
      </c>
      <c r="D187" s="20" t="s">
        <v>4</v>
      </c>
      <c r="E187" s="19" t="s">
        <v>554</v>
      </c>
      <c r="F187" s="14" t="s">
        <v>553</v>
      </c>
      <c r="G187" s="18" t="s">
        <v>21</v>
      </c>
      <c r="H187" s="17">
        <v>270</v>
      </c>
      <c r="I187" s="16"/>
      <c r="J187" s="15">
        <f t="shared" si="20"/>
        <v>0</v>
      </c>
      <c r="K187" s="14" t="s">
        <v>7</v>
      </c>
      <c r="L187" s="3"/>
      <c r="M187" s="24" t="s">
        <v>6</v>
      </c>
      <c r="N187" s="23" t="s">
        <v>5</v>
      </c>
      <c r="P187" s="22">
        <f t="shared" si="21"/>
        <v>0</v>
      </c>
      <c r="Q187" s="22">
        <v>0</v>
      </c>
      <c r="R187" s="22">
        <f t="shared" si="22"/>
        <v>0</v>
      </c>
      <c r="S187" s="22">
        <v>0</v>
      </c>
      <c r="T187" s="21">
        <f t="shared" si="23"/>
        <v>0</v>
      </c>
      <c r="AR187" s="6" t="s">
        <v>1</v>
      </c>
      <c r="AT187" s="6" t="s">
        <v>4</v>
      </c>
      <c r="AU187" s="6" t="s">
        <v>365</v>
      </c>
      <c r="AY187" s="7" t="s">
        <v>3</v>
      </c>
      <c r="BE187" s="8">
        <f t="shared" si="24"/>
        <v>0</v>
      </c>
      <c r="BF187" s="8">
        <f t="shared" si="25"/>
        <v>0</v>
      </c>
      <c r="BG187" s="8">
        <f t="shared" si="26"/>
        <v>0</v>
      </c>
      <c r="BH187" s="8">
        <f t="shared" si="27"/>
        <v>0</v>
      </c>
      <c r="BI187" s="8">
        <f t="shared" si="28"/>
        <v>0</v>
      </c>
      <c r="BJ187" s="7" t="s">
        <v>2</v>
      </c>
      <c r="BK187" s="8">
        <f t="shared" si="29"/>
        <v>0</v>
      </c>
      <c r="BL187" s="7" t="s">
        <v>1</v>
      </c>
      <c r="BM187" s="6" t="s">
        <v>144</v>
      </c>
    </row>
    <row r="188" spans="2:65" s="2" customFormat="1" ht="16.5" customHeight="1">
      <c r="B188" s="3"/>
      <c r="C188" s="20" t="s">
        <v>270</v>
      </c>
      <c r="D188" s="20" t="s">
        <v>4</v>
      </c>
      <c r="E188" s="19" t="s">
        <v>552</v>
      </c>
      <c r="F188" s="14" t="s">
        <v>551</v>
      </c>
      <c r="G188" s="18" t="s">
        <v>21</v>
      </c>
      <c r="H188" s="17">
        <v>45</v>
      </c>
      <c r="I188" s="16"/>
      <c r="J188" s="15">
        <f t="shared" si="20"/>
        <v>0</v>
      </c>
      <c r="K188" s="14" t="s">
        <v>7</v>
      </c>
      <c r="L188" s="3"/>
      <c r="M188" s="24" t="s">
        <v>6</v>
      </c>
      <c r="N188" s="23" t="s">
        <v>5</v>
      </c>
      <c r="P188" s="22">
        <f t="shared" si="21"/>
        <v>0</v>
      </c>
      <c r="Q188" s="22">
        <v>0</v>
      </c>
      <c r="R188" s="22">
        <f t="shared" si="22"/>
        <v>0</v>
      </c>
      <c r="S188" s="22">
        <v>0</v>
      </c>
      <c r="T188" s="21">
        <f t="shared" si="23"/>
        <v>0</v>
      </c>
      <c r="AR188" s="6" t="s">
        <v>1</v>
      </c>
      <c r="AT188" s="6" t="s">
        <v>4</v>
      </c>
      <c r="AU188" s="6" t="s">
        <v>365</v>
      </c>
      <c r="AY188" s="7" t="s">
        <v>3</v>
      </c>
      <c r="BE188" s="8">
        <f t="shared" si="24"/>
        <v>0</v>
      </c>
      <c r="BF188" s="8">
        <f t="shared" si="25"/>
        <v>0</v>
      </c>
      <c r="BG188" s="8">
        <f t="shared" si="26"/>
        <v>0</v>
      </c>
      <c r="BH188" s="8">
        <f t="shared" si="27"/>
        <v>0</v>
      </c>
      <c r="BI188" s="8">
        <f t="shared" si="28"/>
        <v>0</v>
      </c>
      <c r="BJ188" s="7" t="s">
        <v>2</v>
      </c>
      <c r="BK188" s="8">
        <f t="shared" si="29"/>
        <v>0</v>
      </c>
      <c r="BL188" s="7" t="s">
        <v>1</v>
      </c>
      <c r="BM188" s="6" t="s">
        <v>137</v>
      </c>
    </row>
    <row r="189" spans="2:65" s="2" customFormat="1" ht="16.5" customHeight="1">
      <c r="B189" s="3"/>
      <c r="C189" s="20" t="s">
        <v>266</v>
      </c>
      <c r="D189" s="20" t="s">
        <v>4</v>
      </c>
      <c r="E189" s="19" t="s">
        <v>550</v>
      </c>
      <c r="F189" s="14" t="s">
        <v>549</v>
      </c>
      <c r="G189" s="18" t="s">
        <v>21</v>
      </c>
      <c r="H189" s="17">
        <v>280</v>
      </c>
      <c r="I189" s="16"/>
      <c r="J189" s="15">
        <f t="shared" si="20"/>
        <v>0</v>
      </c>
      <c r="K189" s="14" t="s">
        <v>7</v>
      </c>
      <c r="L189" s="3"/>
      <c r="M189" s="24" t="s">
        <v>6</v>
      </c>
      <c r="N189" s="23" t="s">
        <v>5</v>
      </c>
      <c r="P189" s="22">
        <f t="shared" si="21"/>
        <v>0</v>
      </c>
      <c r="Q189" s="22">
        <v>0</v>
      </c>
      <c r="R189" s="22">
        <f t="shared" si="22"/>
        <v>0</v>
      </c>
      <c r="S189" s="22">
        <v>0</v>
      </c>
      <c r="T189" s="21">
        <f t="shared" si="23"/>
        <v>0</v>
      </c>
      <c r="AR189" s="6" t="s">
        <v>1</v>
      </c>
      <c r="AT189" s="6" t="s">
        <v>4</v>
      </c>
      <c r="AU189" s="6" t="s">
        <v>365</v>
      </c>
      <c r="AY189" s="7" t="s">
        <v>3</v>
      </c>
      <c r="BE189" s="8">
        <f t="shared" si="24"/>
        <v>0</v>
      </c>
      <c r="BF189" s="8">
        <f t="shared" si="25"/>
        <v>0</v>
      </c>
      <c r="BG189" s="8">
        <f t="shared" si="26"/>
        <v>0</v>
      </c>
      <c r="BH189" s="8">
        <f t="shared" si="27"/>
        <v>0</v>
      </c>
      <c r="BI189" s="8">
        <f t="shared" si="28"/>
        <v>0</v>
      </c>
      <c r="BJ189" s="7" t="s">
        <v>2</v>
      </c>
      <c r="BK189" s="8">
        <f t="shared" si="29"/>
        <v>0</v>
      </c>
      <c r="BL189" s="7" t="s">
        <v>1</v>
      </c>
      <c r="BM189" s="6" t="s">
        <v>129</v>
      </c>
    </row>
    <row r="190" spans="2:65" s="2" customFormat="1" ht="16.5" customHeight="1">
      <c r="B190" s="3"/>
      <c r="C190" s="20" t="s">
        <v>263</v>
      </c>
      <c r="D190" s="20" t="s">
        <v>4</v>
      </c>
      <c r="E190" s="19" t="s">
        <v>548</v>
      </c>
      <c r="F190" s="14" t="s">
        <v>547</v>
      </c>
      <c r="G190" s="18" t="s">
        <v>21</v>
      </c>
      <c r="H190" s="17">
        <v>780</v>
      </c>
      <c r="I190" s="16"/>
      <c r="J190" s="15">
        <f t="shared" si="20"/>
        <v>0</v>
      </c>
      <c r="K190" s="14" t="s">
        <v>7</v>
      </c>
      <c r="L190" s="3"/>
      <c r="M190" s="24" t="s">
        <v>6</v>
      </c>
      <c r="N190" s="23" t="s">
        <v>5</v>
      </c>
      <c r="P190" s="22">
        <f t="shared" si="21"/>
        <v>0</v>
      </c>
      <c r="Q190" s="22">
        <v>0</v>
      </c>
      <c r="R190" s="22">
        <f t="shared" si="22"/>
        <v>0</v>
      </c>
      <c r="S190" s="22">
        <v>0</v>
      </c>
      <c r="T190" s="21">
        <f t="shared" si="23"/>
        <v>0</v>
      </c>
      <c r="AR190" s="6" t="s">
        <v>1</v>
      </c>
      <c r="AT190" s="6" t="s">
        <v>4</v>
      </c>
      <c r="AU190" s="6" t="s">
        <v>365</v>
      </c>
      <c r="AY190" s="7" t="s">
        <v>3</v>
      </c>
      <c r="BE190" s="8">
        <f t="shared" si="24"/>
        <v>0</v>
      </c>
      <c r="BF190" s="8">
        <f t="shared" si="25"/>
        <v>0</v>
      </c>
      <c r="BG190" s="8">
        <f t="shared" si="26"/>
        <v>0</v>
      </c>
      <c r="BH190" s="8">
        <f t="shared" si="27"/>
        <v>0</v>
      </c>
      <c r="BI190" s="8">
        <f t="shared" si="28"/>
        <v>0</v>
      </c>
      <c r="BJ190" s="7" t="s">
        <v>2</v>
      </c>
      <c r="BK190" s="8">
        <f t="shared" si="29"/>
        <v>0</v>
      </c>
      <c r="BL190" s="7" t="s">
        <v>1</v>
      </c>
      <c r="BM190" s="6" t="s">
        <v>121</v>
      </c>
    </row>
    <row r="191" spans="2:65" s="2" customFormat="1" ht="16.5" customHeight="1">
      <c r="B191" s="3"/>
      <c r="C191" s="20" t="s">
        <v>260</v>
      </c>
      <c r="D191" s="20" t="s">
        <v>4</v>
      </c>
      <c r="E191" s="19" t="s">
        <v>546</v>
      </c>
      <c r="F191" s="14" t="s">
        <v>545</v>
      </c>
      <c r="G191" s="18" t="s">
        <v>21</v>
      </c>
      <c r="H191" s="17">
        <v>650</v>
      </c>
      <c r="I191" s="16"/>
      <c r="J191" s="15">
        <f t="shared" si="20"/>
        <v>0</v>
      </c>
      <c r="K191" s="14" t="s">
        <v>7</v>
      </c>
      <c r="L191" s="3"/>
      <c r="M191" s="24" t="s">
        <v>6</v>
      </c>
      <c r="N191" s="23" t="s">
        <v>5</v>
      </c>
      <c r="P191" s="22">
        <f t="shared" si="21"/>
        <v>0</v>
      </c>
      <c r="Q191" s="22">
        <v>0</v>
      </c>
      <c r="R191" s="22">
        <f t="shared" si="22"/>
        <v>0</v>
      </c>
      <c r="S191" s="22">
        <v>0</v>
      </c>
      <c r="T191" s="21">
        <f t="shared" si="23"/>
        <v>0</v>
      </c>
      <c r="AR191" s="6" t="s">
        <v>1</v>
      </c>
      <c r="AT191" s="6" t="s">
        <v>4</v>
      </c>
      <c r="AU191" s="6" t="s">
        <v>365</v>
      </c>
      <c r="AY191" s="7" t="s">
        <v>3</v>
      </c>
      <c r="BE191" s="8">
        <f t="shared" si="24"/>
        <v>0</v>
      </c>
      <c r="BF191" s="8">
        <f t="shared" si="25"/>
        <v>0</v>
      </c>
      <c r="BG191" s="8">
        <f t="shared" si="26"/>
        <v>0</v>
      </c>
      <c r="BH191" s="8">
        <f t="shared" si="27"/>
        <v>0</v>
      </c>
      <c r="BI191" s="8">
        <f t="shared" si="28"/>
        <v>0</v>
      </c>
      <c r="BJ191" s="7" t="s">
        <v>2</v>
      </c>
      <c r="BK191" s="8">
        <f t="shared" si="29"/>
        <v>0</v>
      </c>
      <c r="BL191" s="7" t="s">
        <v>1</v>
      </c>
      <c r="BM191" s="6" t="s">
        <v>109</v>
      </c>
    </row>
    <row r="192" spans="2:65" s="2" customFormat="1" ht="16.5" customHeight="1">
      <c r="B192" s="3"/>
      <c r="C192" s="20" t="s">
        <v>257</v>
      </c>
      <c r="D192" s="20" t="s">
        <v>4</v>
      </c>
      <c r="E192" s="19" t="s">
        <v>544</v>
      </c>
      <c r="F192" s="14" t="s">
        <v>543</v>
      </c>
      <c r="G192" s="18" t="s">
        <v>21</v>
      </c>
      <c r="H192" s="17">
        <v>140</v>
      </c>
      <c r="I192" s="16"/>
      <c r="J192" s="15">
        <f t="shared" si="20"/>
        <v>0</v>
      </c>
      <c r="K192" s="14" t="s">
        <v>7</v>
      </c>
      <c r="L192" s="3"/>
      <c r="M192" s="24" t="s">
        <v>6</v>
      </c>
      <c r="N192" s="23" t="s">
        <v>5</v>
      </c>
      <c r="P192" s="22">
        <f t="shared" si="21"/>
        <v>0</v>
      </c>
      <c r="Q192" s="22">
        <v>0</v>
      </c>
      <c r="R192" s="22">
        <f t="shared" si="22"/>
        <v>0</v>
      </c>
      <c r="S192" s="22">
        <v>0</v>
      </c>
      <c r="T192" s="21">
        <f t="shared" si="23"/>
        <v>0</v>
      </c>
      <c r="AR192" s="6" t="s">
        <v>1</v>
      </c>
      <c r="AT192" s="6" t="s">
        <v>4</v>
      </c>
      <c r="AU192" s="6" t="s">
        <v>365</v>
      </c>
      <c r="AY192" s="7" t="s">
        <v>3</v>
      </c>
      <c r="BE192" s="8">
        <f t="shared" si="24"/>
        <v>0</v>
      </c>
      <c r="BF192" s="8">
        <f t="shared" si="25"/>
        <v>0</v>
      </c>
      <c r="BG192" s="8">
        <f t="shared" si="26"/>
        <v>0</v>
      </c>
      <c r="BH192" s="8">
        <f t="shared" si="27"/>
        <v>0</v>
      </c>
      <c r="BI192" s="8">
        <f t="shared" si="28"/>
        <v>0</v>
      </c>
      <c r="BJ192" s="7" t="s">
        <v>2</v>
      </c>
      <c r="BK192" s="8">
        <f t="shared" si="29"/>
        <v>0</v>
      </c>
      <c r="BL192" s="7" t="s">
        <v>1</v>
      </c>
      <c r="BM192" s="6" t="s">
        <v>101</v>
      </c>
    </row>
    <row r="193" spans="2:65" s="25" customFormat="1" ht="22.9" customHeight="1">
      <c r="B193" s="32"/>
      <c r="D193" s="27" t="s">
        <v>26</v>
      </c>
      <c r="E193" s="98" t="s">
        <v>542</v>
      </c>
      <c r="F193" s="98" t="s">
        <v>541</v>
      </c>
      <c r="I193" s="34"/>
      <c r="J193" s="97">
        <f>BK193</f>
        <v>0</v>
      </c>
      <c r="L193" s="32"/>
      <c r="M193" s="31"/>
      <c r="P193" s="30">
        <f>SUM(P194:P198)</f>
        <v>0</v>
      </c>
      <c r="R193" s="30">
        <f>SUM(R194:R198)</f>
        <v>0</v>
      </c>
      <c r="T193" s="29">
        <f>SUM(T194:T198)</f>
        <v>0</v>
      </c>
      <c r="AR193" s="27" t="s">
        <v>2</v>
      </c>
      <c r="AT193" s="28" t="s">
        <v>26</v>
      </c>
      <c r="AU193" s="28" t="s">
        <v>2</v>
      </c>
      <c r="AY193" s="27" t="s">
        <v>3</v>
      </c>
      <c r="BK193" s="26">
        <f>SUM(BK194:BK198)</f>
        <v>0</v>
      </c>
    </row>
    <row r="194" spans="2:65" s="2" customFormat="1" ht="16.5" customHeight="1">
      <c r="B194" s="3"/>
      <c r="C194" s="20" t="s">
        <v>254</v>
      </c>
      <c r="D194" s="20" t="s">
        <v>4</v>
      </c>
      <c r="E194" s="19" t="s">
        <v>540</v>
      </c>
      <c r="F194" s="14" t="s">
        <v>539</v>
      </c>
      <c r="G194" s="18" t="s">
        <v>532</v>
      </c>
      <c r="H194" s="17">
        <v>94</v>
      </c>
      <c r="I194" s="16"/>
      <c r="J194" s="15">
        <f>ROUND(I194*H194,2)</f>
        <v>0</v>
      </c>
      <c r="K194" s="14" t="s">
        <v>7</v>
      </c>
      <c r="L194" s="3"/>
      <c r="M194" s="24" t="s">
        <v>6</v>
      </c>
      <c r="N194" s="23" t="s">
        <v>5</v>
      </c>
      <c r="P194" s="22">
        <f>O194*H194</f>
        <v>0</v>
      </c>
      <c r="Q194" s="22">
        <v>0</v>
      </c>
      <c r="R194" s="22">
        <f>Q194*H194</f>
        <v>0</v>
      </c>
      <c r="S194" s="22">
        <v>0</v>
      </c>
      <c r="T194" s="21">
        <f>S194*H194</f>
        <v>0</v>
      </c>
      <c r="AR194" s="6" t="s">
        <v>1</v>
      </c>
      <c r="AT194" s="6" t="s">
        <v>4</v>
      </c>
      <c r="AU194" s="6" t="s">
        <v>365</v>
      </c>
      <c r="AY194" s="7" t="s">
        <v>3</v>
      </c>
      <c r="BE194" s="8">
        <f>IF(N194="základní",J194,0)</f>
        <v>0</v>
      </c>
      <c r="BF194" s="8">
        <f>IF(N194="snížená",J194,0)</f>
        <v>0</v>
      </c>
      <c r="BG194" s="8">
        <f>IF(N194="zákl. přenesená",J194,0)</f>
        <v>0</v>
      </c>
      <c r="BH194" s="8">
        <f>IF(N194="sníž. přenesená",J194,0)</f>
        <v>0</v>
      </c>
      <c r="BI194" s="8">
        <f>IF(N194="nulová",J194,0)</f>
        <v>0</v>
      </c>
      <c r="BJ194" s="7" t="s">
        <v>2</v>
      </c>
      <c r="BK194" s="8">
        <f>ROUND(I194*H194,2)</f>
        <v>0</v>
      </c>
      <c r="BL194" s="7" t="s">
        <v>1</v>
      </c>
      <c r="BM194" s="6" t="s">
        <v>93</v>
      </c>
    </row>
    <row r="195" spans="2:65" s="2" customFormat="1" ht="16.5" customHeight="1">
      <c r="B195" s="3"/>
      <c r="C195" s="20" t="s">
        <v>251</v>
      </c>
      <c r="D195" s="20" t="s">
        <v>4</v>
      </c>
      <c r="E195" s="19" t="s">
        <v>538</v>
      </c>
      <c r="F195" s="14" t="s">
        <v>537</v>
      </c>
      <c r="G195" s="18" t="s">
        <v>532</v>
      </c>
      <c r="H195" s="17">
        <v>94</v>
      </c>
      <c r="I195" s="16"/>
      <c r="J195" s="15">
        <f>ROUND(I195*H195,2)</f>
        <v>0</v>
      </c>
      <c r="K195" s="14" t="s">
        <v>7</v>
      </c>
      <c r="L195" s="3"/>
      <c r="M195" s="24" t="s">
        <v>6</v>
      </c>
      <c r="N195" s="23" t="s">
        <v>5</v>
      </c>
      <c r="P195" s="22">
        <f>O195*H195</f>
        <v>0</v>
      </c>
      <c r="Q195" s="22">
        <v>0</v>
      </c>
      <c r="R195" s="22">
        <f>Q195*H195</f>
        <v>0</v>
      </c>
      <c r="S195" s="22">
        <v>0</v>
      </c>
      <c r="T195" s="21">
        <f>S195*H195</f>
        <v>0</v>
      </c>
      <c r="AR195" s="6" t="s">
        <v>1</v>
      </c>
      <c r="AT195" s="6" t="s">
        <v>4</v>
      </c>
      <c r="AU195" s="6" t="s">
        <v>365</v>
      </c>
      <c r="AY195" s="7" t="s">
        <v>3</v>
      </c>
      <c r="BE195" s="8">
        <f>IF(N195="základní",J195,0)</f>
        <v>0</v>
      </c>
      <c r="BF195" s="8">
        <f>IF(N195="snížená",J195,0)</f>
        <v>0</v>
      </c>
      <c r="BG195" s="8">
        <f>IF(N195="zákl. přenesená",J195,0)</f>
        <v>0</v>
      </c>
      <c r="BH195" s="8">
        <f>IF(N195="sníž. přenesená",J195,0)</f>
        <v>0</v>
      </c>
      <c r="BI195" s="8">
        <f>IF(N195="nulová",J195,0)</f>
        <v>0</v>
      </c>
      <c r="BJ195" s="7" t="s">
        <v>2</v>
      </c>
      <c r="BK195" s="8">
        <f>ROUND(I195*H195,2)</f>
        <v>0</v>
      </c>
      <c r="BL195" s="7" t="s">
        <v>1</v>
      </c>
      <c r="BM195" s="6" t="s">
        <v>85</v>
      </c>
    </row>
    <row r="196" spans="2:65" s="2" customFormat="1" ht="16.5" customHeight="1">
      <c r="B196" s="3"/>
      <c r="C196" s="20" t="s">
        <v>248</v>
      </c>
      <c r="D196" s="20" t="s">
        <v>4</v>
      </c>
      <c r="E196" s="19" t="s">
        <v>536</v>
      </c>
      <c r="F196" s="14" t="s">
        <v>535</v>
      </c>
      <c r="G196" s="18" t="s">
        <v>8</v>
      </c>
      <c r="H196" s="17">
        <v>1</v>
      </c>
      <c r="I196" s="16"/>
      <c r="J196" s="15">
        <f>ROUND(I196*H196,2)</f>
        <v>0</v>
      </c>
      <c r="K196" s="14" t="s">
        <v>7</v>
      </c>
      <c r="L196" s="3"/>
      <c r="M196" s="24" t="s">
        <v>6</v>
      </c>
      <c r="N196" s="23" t="s">
        <v>5</v>
      </c>
      <c r="P196" s="22">
        <f>O196*H196</f>
        <v>0</v>
      </c>
      <c r="Q196" s="22">
        <v>0</v>
      </c>
      <c r="R196" s="22">
        <f>Q196*H196</f>
        <v>0</v>
      </c>
      <c r="S196" s="22">
        <v>0</v>
      </c>
      <c r="T196" s="21">
        <f>S196*H196</f>
        <v>0</v>
      </c>
      <c r="AR196" s="6" t="s">
        <v>1</v>
      </c>
      <c r="AT196" s="6" t="s">
        <v>4</v>
      </c>
      <c r="AU196" s="6" t="s">
        <v>365</v>
      </c>
      <c r="AY196" s="7" t="s">
        <v>3</v>
      </c>
      <c r="BE196" s="8">
        <f>IF(N196="základní",J196,0)</f>
        <v>0</v>
      </c>
      <c r="BF196" s="8">
        <f>IF(N196="snížená",J196,0)</f>
        <v>0</v>
      </c>
      <c r="BG196" s="8">
        <f>IF(N196="zákl. přenesená",J196,0)</f>
        <v>0</v>
      </c>
      <c r="BH196" s="8">
        <f>IF(N196="sníž. přenesená",J196,0)</f>
        <v>0</v>
      </c>
      <c r="BI196" s="8">
        <f>IF(N196="nulová",J196,0)</f>
        <v>0</v>
      </c>
      <c r="BJ196" s="7" t="s">
        <v>2</v>
      </c>
      <c r="BK196" s="8">
        <f>ROUND(I196*H196,2)</f>
        <v>0</v>
      </c>
      <c r="BL196" s="7" t="s">
        <v>1</v>
      </c>
      <c r="BM196" s="6" t="s">
        <v>77</v>
      </c>
    </row>
    <row r="197" spans="2:65" s="2" customFormat="1" ht="16.5" customHeight="1">
      <c r="B197" s="3"/>
      <c r="C197" s="20" t="s">
        <v>245</v>
      </c>
      <c r="D197" s="20" t="s">
        <v>4</v>
      </c>
      <c r="E197" s="19" t="s">
        <v>534</v>
      </c>
      <c r="F197" s="14" t="s">
        <v>533</v>
      </c>
      <c r="G197" s="18" t="s">
        <v>532</v>
      </c>
      <c r="H197" s="17">
        <v>1</v>
      </c>
      <c r="I197" s="16"/>
      <c r="J197" s="15">
        <f>ROUND(I197*H197,2)</f>
        <v>0</v>
      </c>
      <c r="K197" s="14" t="s">
        <v>7</v>
      </c>
      <c r="L197" s="3"/>
      <c r="M197" s="24" t="s">
        <v>6</v>
      </c>
      <c r="N197" s="23" t="s">
        <v>5</v>
      </c>
      <c r="P197" s="22">
        <f>O197*H197</f>
        <v>0</v>
      </c>
      <c r="Q197" s="22">
        <v>0</v>
      </c>
      <c r="R197" s="22">
        <f>Q197*H197</f>
        <v>0</v>
      </c>
      <c r="S197" s="22">
        <v>0</v>
      </c>
      <c r="T197" s="21">
        <f>S197*H197</f>
        <v>0</v>
      </c>
      <c r="AR197" s="6" t="s">
        <v>1</v>
      </c>
      <c r="AT197" s="6" t="s">
        <v>4</v>
      </c>
      <c r="AU197" s="6" t="s">
        <v>365</v>
      </c>
      <c r="AY197" s="7" t="s">
        <v>3</v>
      </c>
      <c r="BE197" s="8">
        <f>IF(N197="základní",J197,0)</f>
        <v>0</v>
      </c>
      <c r="BF197" s="8">
        <f>IF(N197="snížená",J197,0)</f>
        <v>0</v>
      </c>
      <c r="BG197" s="8">
        <f>IF(N197="zákl. přenesená",J197,0)</f>
        <v>0</v>
      </c>
      <c r="BH197" s="8">
        <f>IF(N197="sníž. přenesená",J197,0)</f>
        <v>0</v>
      </c>
      <c r="BI197" s="8">
        <f>IF(N197="nulová",J197,0)</f>
        <v>0</v>
      </c>
      <c r="BJ197" s="7" t="s">
        <v>2</v>
      </c>
      <c r="BK197" s="8">
        <f>ROUND(I197*H197,2)</f>
        <v>0</v>
      </c>
      <c r="BL197" s="7" t="s">
        <v>1</v>
      </c>
      <c r="BM197" s="6" t="s">
        <v>69</v>
      </c>
    </row>
    <row r="198" spans="2:65" s="2" customFormat="1" ht="16.5" customHeight="1">
      <c r="B198" s="3"/>
      <c r="C198" s="20" t="s">
        <v>242</v>
      </c>
      <c r="D198" s="20" t="s">
        <v>4</v>
      </c>
      <c r="E198" s="19" t="s">
        <v>531</v>
      </c>
      <c r="F198" s="14" t="s">
        <v>530</v>
      </c>
      <c r="G198" s="18" t="s">
        <v>8</v>
      </c>
      <c r="H198" s="17">
        <v>1</v>
      </c>
      <c r="I198" s="16"/>
      <c r="J198" s="15">
        <f>ROUND(I198*H198,2)</f>
        <v>0</v>
      </c>
      <c r="K198" s="14" t="s">
        <v>7</v>
      </c>
      <c r="L198" s="3"/>
      <c r="M198" s="24" t="s">
        <v>6</v>
      </c>
      <c r="N198" s="23" t="s">
        <v>5</v>
      </c>
      <c r="P198" s="22">
        <f>O198*H198</f>
        <v>0</v>
      </c>
      <c r="Q198" s="22">
        <v>0</v>
      </c>
      <c r="R198" s="22">
        <f>Q198*H198</f>
        <v>0</v>
      </c>
      <c r="S198" s="22">
        <v>0</v>
      </c>
      <c r="T198" s="21">
        <f>S198*H198</f>
        <v>0</v>
      </c>
      <c r="AR198" s="6" t="s">
        <v>1</v>
      </c>
      <c r="AT198" s="6" t="s">
        <v>4</v>
      </c>
      <c r="AU198" s="6" t="s">
        <v>365</v>
      </c>
      <c r="AY198" s="7" t="s">
        <v>3</v>
      </c>
      <c r="BE198" s="8">
        <f>IF(N198="základní",J198,0)</f>
        <v>0</v>
      </c>
      <c r="BF198" s="8">
        <f>IF(N198="snížená",J198,0)</f>
        <v>0</v>
      </c>
      <c r="BG198" s="8">
        <f>IF(N198="zákl. přenesená",J198,0)</f>
        <v>0</v>
      </c>
      <c r="BH198" s="8">
        <f>IF(N198="sníž. přenesená",J198,0)</f>
        <v>0</v>
      </c>
      <c r="BI198" s="8">
        <f>IF(N198="nulová",J198,0)</f>
        <v>0</v>
      </c>
      <c r="BJ198" s="7" t="s">
        <v>2</v>
      </c>
      <c r="BK198" s="8">
        <f>ROUND(I198*H198,2)</f>
        <v>0</v>
      </c>
      <c r="BL198" s="7" t="s">
        <v>1</v>
      </c>
      <c r="BM198" s="6" t="s">
        <v>61</v>
      </c>
    </row>
    <row r="199" spans="2:65" s="25" customFormat="1" ht="25.9" customHeight="1">
      <c r="B199" s="32"/>
      <c r="D199" s="27" t="s">
        <v>26</v>
      </c>
      <c r="E199" s="35" t="s">
        <v>529</v>
      </c>
      <c r="F199" s="35" t="s">
        <v>528</v>
      </c>
      <c r="I199" s="34"/>
      <c r="J199" s="33">
        <f>BK199</f>
        <v>0</v>
      </c>
      <c r="L199" s="32"/>
      <c r="M199" s="31"/>
      <c r="P199" s="30">
        <f>P200+P202+P204+P207+P211+P214+P216+P219+P221+P223+P234+P236+P238+P240</f>
        <v>0</v>
      </c>
      <c r="R199" s="30">
        <f>R200+R202+R204+R207+R211+R214+R216+R219+R221+R223+R234+R236+R238+R240</f>
        <v>0</v>
      </c>
      <c r="T199" s="29">
        <f>T200+T202+T204+T207+T211+T214+T216+T219+T221+T223+T234+T236+T238+T240</f>
        <v>0</v>
      </c>
      <c r="AR199" s="27" t="s">
        <v>2</v>
      </c>
      <c r="AT199" s="28" t="s">
        <v>26</v>
      </c>
      <c r="AU199" s="28" t="s">
        <v>25</v>
      </c>
      <c r="AY199" s="27" t="s">
        <v>3</v>
      </c>
      <c r="BK199" s="26">
        <f>BK200+BK202+BK204+BK207+BK211+BK214+BK216+BK219+BK221+BK223+BK234+BK236+BK238+BK240</f>
        <v>0</v>
      </c>
    </row>
    <row r="200" spans="2:65" s="25" customFormat="1" ht="22.9" customHeight="1">
      <c r="B200" s="32"/>
      <c r="D200" s="27" t="s">
        <v>26</v>
      </c>
      <c r="E200" s="98" t="s">
        <v>527</v>
      </c>
      <c r="F200" s="98" t="s">
        <v>526</v>
      </c>
      <c r="I200" s="34"/>
      <c r="J200" s="97">
        <f>BK200</f>
        <v>0</v>
      </c>
      <c r="L200" s="32"/>
      <c r="M200" s="31"/>
      <c r="P200" s="30">
        <f>P201</f>
        <v>0</v>
      </c>
      <c r="R200" s="30">
        <f>R201</f>
        <v>0</v>
      </c>
      <c r="T200" s="29">
        <f>T201</f>
        <v>0</v>
      </c>
      <c r="AR200" s="27" t="s">
        <v>2</v>
      </c>
      <c r="AT200" s="28" t="s">
        <v>26</v>
      </c>
      <c r="AU200" s="28" t="s">
        <v>2</v>
      </c>
      <c r="AY200" s="27" t="s">
        <v>3</v>
      </c>
      <c r="BK200" s="26">
        <f>BK201</f>
        <v>0</v>
      </c>
    </row>
    <row r="201" spans="2:65" s="2" customFormat="1" ht="16.5" customHeight="1">
      <c r="B201" s="3"/>
      <c r="C201" s="20" t="s">
        <v>239</v>
      </c>
      <c r="D201" s="20" t="s">
        <v>4</v>
      </c>
      <c r="E201" s="19" t="s">
        <v>525</v>
      </c>
      <c r="F201" s="14" t="s">
        <v>524</v>
      </c>
      <c r="G201" s="18" t="s">
        <v>8</v>
      </c>
      <c r="H201" s="17">
        <v>1</v>
      </c>
      <c r="I201" s="16"/>
      <c r="J201" s="15">
        <f>ROUND(I201*H201,2)</f>
        <v>0</v>
      </c>
      <c r="K201" s="14" t="s">
        <v>7</v>
      </c>
      <c r="L201" s="3"/>
      <c r="M201" s="24" t="s">
        <v>6</v>
      </c>
      <c r="N201" s="23" t="s">
        <v>5</v>
      </c>
      <c r="P201" s="22">
        <f>O201*H201</f>
        <v>0</v>
      </c>
      <c r="Q201" s="22">
        <v>0</v>
      </c>
      <c r="R201" s="22">
        <f>Q201*H201</f>
        <v>0</v>
      </c>
      <c r="S201" s="22">
        <v>0</v>
      </c>
      <c r="T201" s="21">
        <f>S201*H201</f>
        <v>0</v>
      </c>
      <c r="AR201" s="6" t="s">
        <v>1</v>
      </c>
      <c r="AT201" s="6" t="s">
        <v>4</v>
      </c>
      <c r="AU201" s="6" t="s">
        <v>365</v>
      </c>
      <c r="AY201" s="7" t="s">
        <v>3</v>
      </c>
      <c r="BE201" s="8">
        <f>IF(N201="základní",J201,0)</f>
        <v>0</v>
      </c>
      <c r="BF201" s="8">
        <f>IF(N201="snížená",J201,0)</f>
        <v>0</v>
      </c>
      <c r="BG201" s="8">
        <f>IF(N201="zákl. přenesená",J201,0)</f>
        <v>0</v>
      </c>
      <c r="BH201" s="8">
        <f>IF(N201="sníž. přenesená",J201,0)</f>
        <v>0</v>
      </c>
      <c r="BI201" s="8">
        <f>IF(N201="nulová",J201,0)</f>
        <v>0</v>
      </c>
      <c r="BJ201" s="7" t="s">
        <v>2</v>
      </c>
      <c r="BK201" s="8">
        <f>ROUND(I201*H201,2)</f>
        <v>0</v>
      </c>
      <c r="BL201" s="7" t="s">
        <v>1</v>
      </c>
      <c r="BM201" s="6" t="s">
        <v>51</v>
      </c>
    </row>
    <row r="202" spans="2:65" s="25" customFormat="1" ht="22.9" customHeight="1">
      <c r="B202" s="32"/>
      <c r="D202" s="27" t="s">
        <v>26</v>
      </c>
      <c r="E202" s="98" t="s">
        <v>523</v>
      </c>
      <c r="F202" s="98" t="s">
        <v>522</v>
      </c>
      <c r="I202" s="34"/>
      <c r="J202" s="97">
        <f>BK202</f>
        <v>0</v>
      </c>
      <c r="L202" s="32"/>
      <c r="M202" s="31"/>
      <c r="P202" s="30">
        <f>P203</f>
        <v>0</v>
      </c>
      <c r="R202" s="30">
        <f>R203</f>
        <v>0</v>
      </c>
      <c r="T202" s="29">
        <f>T203</f>
        <v>0</v>
      </c>
      <c r="AR202" s="27" t="s">
        <v>2</v>
      </c>
      <c r="AT202" s="28" t="s">
        <v>26</v>
      </c>
      <c r="AU202" s="28" t="s">
        <v>2</v>
      </c>
      <c r="AY202" s="27" t="s">
        <v>3</v>
      </c>
      <c r="BK202" s="26">
        <f>BK203</f>
        <v>0</v>
      </c>
    </row>
    <row r="203" spans="2:65" s="2" customFormat="1" ht="16.5" customHeight="1">
      <c r="B203" s="3"/>
      <c r="C203" s="20" t="s">
        <v>236</v>
      </c>
      <c r="D203" s="20" t="s">
        <v>4</v>
      </c>
      <c r="E203" s="19" t="s">
        <v>521</v>
      </c>
      <c r="F203" s="14" t="s">
        <v>520</v>
      </c>
      <c r="G203" s="18" t="s">
        <v>8</v>
      </c>
      <c r="H203" s="17">
        <v>35</v>
      </c>
      <c r="I203" s="16"/>
      <c r="J203" s="15">
        <f>ROUND(I203*H203,2)</f>
        <v>0</v>
      </c>
      <c r="K203" s="14" t="s">
        <v>7</v>
      </c>
      <c r="L203" s="3"/>
      <c r="M203" s="24" t="s">
        <v>6</v>
      </c>
      <c r="N203" s="23" t="s">
        <v>5</v>
      </c>
      <c r="P203" s="22">
        <f>O203*H203</f>
        <v>0</v>
      </c>
      <c r="Q203" s="22">
        <v>0</v>
      </c>
      <c r="R203" s="22">
        <f>Q203*H203</f>
        <v>0</v>
      </c>
      <c r="S203" s="22">
        <v>0</v>
      </c>
      <c r="T203" s="21">
        <f>S203*H203</f>
        <v>0</v>
      </c>
      <c r="AR203" s="6" t="s">
        <v>1</v>
      </c>
      <c r="AT203" s="6" t="s">
        <v>4</v>
      </c>
      <c r="AU203" s="6" t="s">
        <v>365</v>
      </c>
      <c r="AY203" s="7" t="s">
        <v>3</v>
      </c>
      <c r="BE203" s="8">
        <f>IF(N203="základní",J203,0)</f>
        <v>0</v>
      </c>
      <c r="BF203" s="8">
        <f>IF(N203="snížená",J203,0)</f>
        <v>0</v>
      </c>
      <c r="BG203" s="8">
        <f>IF(N203="zákl. přenesená",J203,0)</f>
        <v>0</v>
      </c>
      <c r="BH203" s="8">
        <f>IF(N203="sníž. přenesená",J203,0)</f>
        <v>0</v>
      </c>
      <c r="BI203" s="8">
        <f>IF(N203="nulová",J203,0)</f>
        <v>0</v>
      </c>
      <c r="BJ203" s="7" t="s">
        <v>2</v>
      </c>
      <c r="BK203" s="8">
        <f>ROUND(I203*H203,2)</f>
        <v>0</v>
      </c>
      <c r="BL203" s="7" t="s">
        <v>1</v>
      </c>
      <c r="BM203" s="6" t="s">
        <v>43</v>
      </c>
    </row>
    <row r="204" spans="2:65" s="25" customFormat="1" ht="22.9" customHeight="1">
      <c r="B204" s="32"/>
      <c r="D204" s="27" t="s">
        <v>26</v>
      </c>
      <c r="E204" s="98" t="s">
        <v>519</v>
      </c>
      <c r="F204" s="98" t="s">
        <v>518</v>
      </c>
      <c r="I204" s="34"/>
      <c r="J204" s="97">
        <f>BK204</f>
        <v>0</v>
      </c>
      <c r="L204" s="32"/>
      <c r="M204" s="31"/>
      <c r="P204" s="30">
        <f>SUM(P205:P206)</f>
        <v>0</v>
      </c>
      <c r="R204" s="30">
        <f>SUM(R205:R206)</f>
        <v>0</v>
      </c>
      <c r="T204" s="29">
        <f>SUM(T205:T206)</f>
        <v>0</v>
      </c>
      <c r="AR204" s="27" t="s">
        <v>2</v>
      </c>
      <c r="AT204" s="28" t="s">
        <v>26</v>
      </c>
      <c r="AU204" s="28" t="s">
        <v>2</v>
      </c>
      <c r="AY204" s="27" t="s">
        <v>3</v>
      </c>
      <c r="BK204" s="26">
        <f>SUM(BK205:BK206)</f>
        <v>0</v>
      </c>
    </row>
    <row r="205" spans="2:65" s="2" customFormat="1" ht="16.5" customHeight="1">
      <c r="B205" s="3"/>
      <c r="C205" s="20" t="s">
        <v>233</v>
      </c>
      <c r="D205" s="20" t="s">
        <v>4</v>
      </c>
      <c r="E205" s="19" t="s">
        <v>517</v>
      </c>
      <c r="F205" s="14" t="s">
        <v>516</v>
      </c>
      <c r="G205" s="18" t="s">
        <v>21</v>
      </c>
      <c r="H205" s="17">
        <v>75</v>
      </c>
      <c r="I205" s="16"/>
      <c r="J205" s="15">
        <f>ROUND(I205*H205,2)</f>
        <v>0</v>
      </c>
      <c r="K205" s="14" t="s">
        <v>7</v>
      </c>
      <c r="L205" s="3"/>
      <c r="M205" s="24" t="s">
        <v>6</v>
      </c>
      <c r="N205" s="23" t="s">
        <v>5</v>
      </c>
      <c r="P205" s="22">
        <f>O205*H205</f>
        <v>0</v>
      </c>
      <c r="Q205" s="22">
        <v>0</v>
      </c>
      <c r="R205" s="22">
        <f>Q205*H205</f>
        <v>0</v>
      </c>
      <c r="S205" s="22">
        <v>0</v>
      </c>
      <c r="T205" s="21">
        <f>S205*H205</f>
        <v>0</v>
      </c>
      <c r="AR205" s="6" t="s">
        <v>1</v>
      </c>
      <c r="AT205" s="6" t="s">
        <v>4</v>
      </c>
      <c r="AU205" s="6" t="s">
        <v>365</v>
      </c>
      <c r="AY205" s="7" t="s">
        <v>3</v>
      </c>
      <c r="BE205" s="8">
        <f>IF(N205="základní",J205,0)</f>
        <v>0</v>
      </c>
      <c r="BF205" s="8">
        <f>IF(N205="snížená",J205,0)</f>
        <v>0</v>
      </c>
      <c r="BG205" s="8">
        <f>IF(N205="zákl. přenesená",J205,0)</f>
        <v>0</v>
      </c>
      <c r="BH205" s="8">
        <f>IF(N205="sníž. přenesená",J205,0)</f>
        <v>0</v>
      </c>
      <c r="BI205" s="8">
        <f>IF(N205="nulová",J205,0)</f>
        <v>0</v>
      </c>
      <c r="BJ205" s="7" t="s">
        <v>2</v>
      </c>
      <c r="BK205" s="8">
        <f>ROUND(I205*H205,2)</f>
        <v>0</v>
      </c>
      <c r="BL205" s="7" t="s">
        <v>1</v>
      </c>
      <c r="BM205" s="6" t="s">
        <v>37</v>
      </c>
    </row>
    <row r="206" spans="2:65" s="2" customFormat="1" ht="16.5" customHeight="1">
      <c r="B206" s="3"/>
      <c r="C206" s="20" t="s">
        <v>228</v>
      </c>
      <c r="D206" s="20" t="s">
        <v>4</v>
      </c>
      <c r="E206" s="19" t="s">
        <v>515</v>
      </c>
      <c r="F206" s="14" t="s">
        <v>514</v>
      </c>
      <c r="G206" s="18" t="s">
        <v>8</v>
      </c>
      <c r="H206" s="17">
        <v>2</v>
      </c>
      <c r="I206" s="16"/>
      <c r="J206" s="15">
        <f>ROUND(I206*H206,2)</f>
        <v>0</v>
      </c>
      <c r="K206" s="14" t="s">
        <v>7</v>
      </c>
      <c r="L206" s="3"/>
      <c r="M206" s="24" t="s">
        <v>6</v>
      </c>
      <c r="N206" s="23" t="s">
        <v>5</v>
      </c>
      <c r="P206" s="22">
        <f>O206*H206</f>
        <v>0</v>
      </c>
      <c r="Q206" s="22">
        <v>0</v>
      </c>
      <c r="R206" s="22">
        <f>Q206*H206</f>
        <v>0</v>
      </c>
      <c r="S206" s="22">
        <v>0</v>
      </c>
      <c r="T206" s="21">
        <f>S206*H206</f>
        <v>0</v>
      </c>
      <c r="AR206" s="6" t="s">
        <v>1</v>
      </c>
      <c r="AT206" s="6" t="s">
        <v>4</v>
      </c>
      <c r="AU206" s="6" t="s">
        <v>365</v>
      </c>
      <c r="AY206" s="7" t="s">
        <v>3</v>
      </c>
      <c r="BE206" s="8">
        <f>IF(N206="základní",J206,0)</f>
        <v>0</v>
      </c>
      <c r="BF206" s="8">
        <f>IF(N206="snížená",J206,0)</f>
        <v>0</v>
      </c>
      <c r="BG206" s="8">
        <f>IF(N206="zákl. přenesená",J206,0)</f>
        <v>0</v>
      </c>
      <c r="BH206" s="8">
        <f>IF(N206="sníž. přenesená",J206,0)</f>
        <v>0</v>
      </c>
      <c r="BI206" s="8">
        <f>IF(N206="nulová",J206,0)</f>
        <v>0</v>
      </c>
      <c r="BJ206" s="7" t="s">
        <v>2</v>
      </c>
      <c r="BK206" s="8">
        <f>ROUND(I206*H206,2)</f>
        <v>0</v>
      </c>
      <c r="BL206" s="7" t="s">
        <v>1</v>
      </c>
      <c r="BM206" s="6" t="s">
        <v>24</v>
      </c>
    </row>
    <row r="207" spans="2:65" s="25" customFormat="1" ht="22.9" customHeight="1">
      <c r="B207" s="32"/>
      <c r="D207" s="27" t="s">
        <v>26</v>
      </c>
      <c r="E207" s="98" t="s">
        <v>513</v>
      </c>
      <c r="F207" s="98" t="s">
        <v>512</v>
      </c>
      <c r="I207" s="34"/>
      <c r="J207" s="97">
        <f>BK207</f>
        <v>0</v>
      </c>
      <c r="L207" s="32"/>
      <c r="M207" s="31"/>
      <c r="P207" s="30">
        <f>SUM(P208:P210)</f>
        <v>0</v>
      </c>
      <c r="R207" s="30">
        <f>SUM(R208:R210)</f>
        <v>0</v>
      </c>
      <c r="T207" s="29">
        <f>SUM(T208:T210)</f>
        <v>0</v>
      </c>
      <c r="AR207" s="27" t="s">
        <v>2</v>
      </c>
      <c r="AT207" s="28" t="s">
        <v>26</v>
      </c>
      <c r="AU207" s="28" t="s">
        <v>2</v>
      </c>
      <c r="AY207" s="27" t="s">
        <v>3</v>
      </c>
      <c r="BK207" s="26">
        <f>SUM(BK208:BK210)</f>
        <v>0</v>
      </c>
    </row>
    <row r="208" spans="2:65" s="2" customFormat="1" ht="16.5" customHeight="1">
      <c r="B208" s="3"/>
      <c r="C208" s="20" t="s">
        <v>225</v>
      </c>
      <c r="D208" s="20" t="s">
        <v>4</v>
      </c>
      <c r="E208" s="19" t="s">
        <v>511</v>
      </c>
      <c r="F208" s="14" t="s">
        <v>510</v>
      </c>
      <c r="G208" s="18" t="s">
        <v>21</v>
      </c>
      <c r="H208" s="17">
        <v>50</v>
      </c>
      <c r="I208" s="16"/>
      <c r="J208" s="15">
        <f>ROUND(I208*H208,2)</f>
        <v>0</v>
      </c>
      <c r="K208" s="14" t="s">
        <v>7</v>
      </c>
      <c r="L208" s="3"/>
      <c r="M208" s="24" t="s">
        <v>6</v>
      </c>
      <c r="N208" s="23" t="s">
        <v>5</v>
      </c>
      <c r="P208" s="22">
        <f>O208*H208</f>
        <v>0</v>
      </c>
      <c r="Q208" s="22">
        <v>0</v>
      </c>
      <c r="R208" s="22">
        <f>Q208*H208</f>
        <v>0</v>
      </c>
      <c r="S208" s="22">
        <v>0</v>
      </c>
      <c r="T208" s="21">
        <f>S208*H208</f>
        <v>0</v>
      </c>
      <c r="AR208" s="6" t="s">
        <v>1</v>
      </c>
      <c r="AT208" s="6" t="s">
        <v>4</v>
      </c>
      <c r="AU208" s="6" t="s">
        <v>365</v>
      </c>
      <c r="AY208" s="7" t="s">
        <v>3</v>
      </c>
      <c r="BE208" s="8">
        <f>IF(N208="základní",J208,0)</f>
        <v>0</v>
      </c>
      <c r="BF208" s="8">
        <f>IF(N208="snížená",J208,0)</f>
        <v>0</v>
      </c>
      <c r="BG208" s="8">
        <f>IF(N208="zákl. přenesená",J208,0)</f>
        <v>0</v>
      </c>
      <c r="BH208" s="8">
        <f>IF(N208="sníž. přenesená",J208,0)</f>
        <v>0</v>
      </c>
      <c r="BI208" s="8">
        <f>IF(N208="nulová",J208,0)</f>
        <v>0</v>
      </c>
      <c r="BJ208" s="7" t="s">
        <v>2</v>
      </c>
      <c r="BK208" s="8">
        <f>ROUND(I208*H208,2)</f>
        <v>0</v>
      </c>
      <c r="BL208" s="7" t="s">
        <v>1</v>
      </c>
      <c r="BM208" s="6" t="s">
        <v>15</v>
      </c>
    </row>
    <row r="209" spans="2:65" s="2" customFormat="1" ht="16.5" customHeight="1">
      <c r="B209" s="3"/>
      <c r="C209" s="20" t="s">
        <v>222</v>
      </c>
      <c r="D209" s="20" t="s">
        <v>4</v>
      </c>
      <c r="E209" s="19" t="s">
        <v>509</v>
      </c>
      <c r="F209" s="14" t="s">
        <v>508</v>
      </c>
      <c r="G209" s="18" t="s">
        <v>21</v>
      </c>
      <c r="H209" s="17">
        <v>45</v>
      </c>
      <c r="I209" s="16"/>
      <c r="J209" s="15">
        <f>ROUND(I209*H209,2)</f>
        <v>0</v>
      </c>
      <c r="K209" s="14" t="s">
        <v>7</v>
      </c>
      <c r="L209" s="3"/>
      <c r="M209" s="24" t="s">
        <v>6</v>
      </c>
      <c r="N209" s="23" t="s">
        <v>5</v>
      </c>
      <c r="P209" s="22">
        <f>O209*H209</f>
        <v>0</v>
      </c>
      <c r="Q209" s="22">
        <v>0</v>
      </c>
      <c r="R209" s="22">
        <f>Q209*H209</f>
        <v>0</v>
      </c>
      <c r="S209" s="22">
        <v>0</v>
      </c>
      <c r="T209" s="21">
        <f>S209*H209</f>
        <v>0</v>
      </c>
      <c r="AR209" s="6" t="s">
        <v>1</v>
      </c>
      <c r="AT209" s="6" t="s">
        <v>4</v>
      </c>
      <c r="AU209" s="6" t="s">
        <v>365</v>
      </c>
      <c r="AY209" s="7" t="s">
        <v>3</v>
      </c>
      <c r="BE209" s="8">
        <f>IF(N209="základní",J209,0)</f>
        <v>0</v>
      </c>
      <c r="BF209" s="8">
        <f>IF(N209="snížená",J209,0)</f>
        <v>0</v>
      </c>
      <c r="BG209" s="8">
        <f>IF(N209="zákl. přenesená",J209,0)</f>
        <v>0</v>
      </c>
      <c r="BH209" s="8">
        <f>IF(N209="sníž. přenesená",J209,0)</f>
        <v>0</v>
      </c>
      <c r="BI209" s="8">
        <f>IF(N209="nulová",J209,0)</f>
        <v>0</v>
      </c>
      <c r="BJ209" s="7" t="s">
        <v>2</v>
      </c>
      <c r="BK209" s="8">
        <f>ROUND(I209*H209,2)</f>
        <v>0</v>
      </c>
      <c r="BL209" s="7" t="s">
        <v>1</v>
      </c>
      <c r="BM209" s="6" t="s">
        <v>219</v>
      </c>
    </row>
    <row r="210" spans="2:65" s="2" customFormat="1" ht="16.5" customHeight="1">
      <c r="B210" s="3"/>
      <c r="C210" s="20" t="s">
        <v>218</v>
      </c>
      <c r="D210" s="20" t="s">
        <v>4</v>
      </c>
      <c r="E210" s="19" t="s">
        <v>507</v>
      </c>
      <c r="F210" s="14" t="s">
        <v>506</v>
      </c>
      <c r="G210" s="18" t="s">
        <v>21</v>
      </c>
      <c r="H210" s="17">
        <v>45</v>
      </c>
      <c r="I210" s="16"/>
      <c r="J210" s="15">
        <f>ROUND(I210*H210,2)</f>
        <v>0</v>
      </c>
      <c r="K210" s="14" t="s">
        <v>7</v>
      </c>
      <c r="L210" s="3"/>
      <c r="M210" s="24" t="s">
        <v>6</v>
      </c>
      <c r="N210" s="23" t="s">
        <v>5</v>
      </c>
      <c r="P210" s="22">
        <f>O210*H210</f>
        <v>0</v>
      </c>
      <c r="Q210" s="22">
        <v>0</v>
      </c>
      <c r="R210" s="22">
        <f>Q210*H210</f>
        <v>0</v>
      </c>
      <c r="S210" s="22">
        <v>0</v>
      </c>
      <c r="T210" s="21">
        <f>S210*H210</f>
        <v>0</v>
      </c>
      <c r="AR210" s="6" t="s">
        <v>1</v>
      </c>
      <c r="AT210" s="6" t="s">
        <v>4</v>
      </c>
      <c r="AU210" s="6" t="s">
        <v>365</v>
      </c>
      <c r="AY210" s="7" t="s">
        <v>3</v>
      </c>
      <c r="BE210" s="8">
        <f>IF(N210="základní",J210,0)</f>
        <v>0</v>
      </c>
      <c r="BF210" s="8">
        <f>IF(N210="snížená",J210,0)</f>
        <v>0</v>
      </c>
      <c r="BG210" s="8">
        <f>IF(N210="zákl. přenesená",J210,0)</f>
        <v>0</v>
      </c>
      <c r="BH210" s="8">
        <f>IF(N210="sníž. přenesená",J210,0)</f>
        <v>0</v>
      </c>
      <c r="BI210" s="8">
        <f>IF(N210="nulová",J210,0)</f>
        <v>0</v>
      </c>
      <c r="BJ210" s="7" t="s">
        <v>2</v>
      </c>
      <c r="BK210" s="8">
        <f>ROUND(I210*H210,2)</f>
        <v>0</v>
      </c>
      <c r="BL210" s="7" t="s">
        <v>1</v>
      </c>
      <c r="BM210" s="6" t="s">
        <v>215</v>
      </c>
    </row>
    <row r="211" spans="2:65" s="25" customFormat="1" ht="22.9" customHeight="1">
      <c r="B211" s="32"/>
      <c r="D211" s="27" t="s">
        <v>26</v>
      </c>
      <c r="E211" s="98" t="s">
        <v>505</v>
      </c>
      <c r="F211" s="98" t="s">
        <v>504</v>
      </c>
      <c r="I211" s="34"/>
      <c r="J211" s="97">
        <f>BK211</f>
        <v>0</v>
      </c>
      <c r="L211" s="32"/>
      <c r="M211" s="31"/>
      <c r="P211" s="30">
        <f>SUM(P212:P213)</f>
        <v>0</v>
      </c>
      <c r="R211" s="30">
        <f>SUM(R212:R213)</f>
        <v>0</v>
      </c>
      <c r="T211" s="29">
        <f>SUM(T212:T213)</f>
        <v>0</v>
      </c>
      <c r="AR211" s="27" t="s">
        <v>2</v>
      </c>
      <c r="AT211" s="28" t="s">
        <v>26</v>
      </c>
      <c r="AU211" s="28" t="s">
        <v>2</v>
      </c>
      <c r="AY211" s="27" t="s">
        <v>3</v>
      </c>
      <c r="BK211" s="26">
        <f>SUM(BK212:BK213)</f>
        <v>0</v>
      </c>
    </row>
    <row r="212" spans="2:65" s="2" customFormat="1" ht="16.5" customHeight="1">
      <c r="B212" s="3"/>
      <c r="C212" s="20" t="s">
        <v>214</v>
      </c>
      <c r="D212" s="20" t="s">
        <v>4</v>
      </c>
      <c r="E212" s="19" t="s">
        <v>503</v>
      </c>
      <c r="F212" s="14" t="s">
        <v>502</v>
      </c>
      <c r="G212" s="18" t="s">
        <v>21</v>
      </c>
      <c r="H212" s="17">
        <v>200</v>
      </c>
      <c r="I212" s="16"/>
      <c r="J212" s="15">
        <f>ROUND(I212*H212,2)</f>
        <v>0</v>
      </c>
      <c r="K212" s="14" t="s">
        <v>7</v>
      </c>
      <c r="L212" s="3"/>
      <c r="M212" s="24" t="s">
        <v>6</v>
      </c>
      <c r="N212" s="23" t="s">
        <v>5</v>
      </c>
      <c r="P212" s="22">
        <f>O212*H212</f>
        <v>0</v>
      </c>
      <c r="Q212" s="22">
        <v>0</v>
      </c>
      <c r="R212" s="22">
        <f>Q212*H212</f>
        <v>0</v>
      </c>
      <c r="S212" s="22">
        <v>0</v>
      </c>
      <c r="T212" s="21">
        <f>S212*H212</f>
        <v>0</v>
      </c>
      <c r="AR212" s="6" t="s">
        <v>1</v>
      </c>
      <c r="AT212" s="6" t="s">
        <v>4</v>
      </c>
      <c r="AU212" s="6" t="s">
        <v>365</v>
      </c>
      <c r="AY212" s="7" t="s">
        <v>3</v>
      </c>
      <c r="BE212" s="8">
        <f>IF(N212="základní",J212,0)</f>
        <v>0</v>
      </c>
      <c r="BF212" s="8">
        <f>IF(N212="snížená",J212,0)</f>
        <v>0</v>
      </c>
      <c r="BG212" s="8">
        <f>IF(N212="zákl. přenesená",J212,0)</f>
        <v>0</v>
      </c>
      <c r="BH212" s="8">
        <f>IF(N212="sníž. přenesená",J212,0)</f>
        <v>0</v>
      </c>
      <c r="BI212" s="8">
        <f>IF(N212="nulová",J212,0)</f>
        <v>0</v>
      </c>
      <c r="BJ212" s="7" t="s">
        <v>2</v>
      </c>
      <c r="BK212" s="8">
        <f>ROUND(I212*H212,2)</f>
        <v>0</v>
      </c>
      <c r="BL212" s="7" t="s">
        <v>1</v>
      </c>
      <c r="BM212" s="6" t="s">
        <v>211</v>
      </c>
    </row>
    <row r="213" spans="2:65" s="2" customFormat="1" ht="16.5" customHeight="1">
      <c r="B213" s="3"/>
      <c r="C213" s="20" t="s">
        <v>210</v>
      </c>
      <c r="D213" s="20" t="s">
        <v>4</v>
      </c>
      <c r="E213" s="19" t="s">
        <v>501</v>
      </c>
      <c r="F213" s="14" t="s">
        <v>500</v>
      </c>
      <c r="G213" s="18" t="s">
        <v>21</v>
      </c>
      <c r="H213" s="17">
        <v>75</v>
      </c>
      <c r="I213" s="16"/>
      <c r="J213" s="15">
        <f>ROUND(I213*H213,2)</f>
        <v>0</v>
      </c>
      <c r="K213" s="14" t="s">
        <v>7</v>
      </c>
      <c r="L213" s="3"/>
      <c r="M213" s="24" t="s">
        <v>6</v>
      </c>
      <c r="N213" s="23" t="s">
        <v>5</v>
      </c>
      <c r="P213" s="22">
        <f>O213*H213</f>
        <v>0</v>
      </c>
      <c r="Q213" s="22">
        <v>0</v>
      </c>
      <c r="R213" s="22">
        <f>Q213*H213</f>
        <v>0</v>
      </c>
      <c r="S213" s="22">
        <v>0</v>
      </c>
      <c r="T213" s="21">
        <f>S213*H213</f>
        <v>0</v>
      </c>
      <c r="AR213" s="6" t="s">
        <v>1</v>
      </c>
      <c r="AT213" s="6" t="s">
        <v>4</v>
      </c>
      <c r="AU213" s="6" t="s">
        <v>365</v>
      </c>
      <c r="AY213" s="7" t="s">
        <v>3</v>
      </c>
      <c r="BE213" s="8">
        <f>IF(N213="základní",J213,0)</f>
        <v>0</v>
      </c>
      <c r="BF213" s="8">
        <f>IF(N213="snížená",J213,0)</f>
        <v>0</v>
      </c>
      <c r="BG213" s="8">
        <f>IF(N213="zákl. přenesená",J213,0)</f>
        <v>0</v>
      </c>
      <c r="BH213" s="8">
        <f>IF(N213="sníž. přenesená",J213,0)</f>
        <v>0</v>
      </c>
      <c r="BI213" s="8">
        <f>IF(N213="nulová",J213,0)</f>
        <v>0</v>
      </c>
      <c r="BJ213" s="7" t="s">
        <v>2</v>
      </c>
      <c r="BK213" s="8">
        <f>ROUND(I213*H213,2)</f>
        <v>0</v>
      </c>
      <c r="BL213" s="7" t="s">
        <v>1</v>
      </c>
      <c r="BM213" s="6" t="s">
        <v>207</v>
      </c>
    </row>
    <row r="214" spans="2:65" s="25" customFormat="1" ht="22.9" customHeight="1">
      <c r="B214" s="32"/>
      <c r="D214" s="27" t="s">
        <v>26</v>
      </c>
      <c r="E214" s="98" t="s">
        <v>499</v>
      </c>
      <c r="F214" s="98" t="s">
        <v>498</v>
      </c>
      <c r="I214" s="34"/>
      <c r="J214" s="97">
        <f>BK214</f>
        <v>0</v>
      </c>
      <c r="L214" s="32"/>
      <c r="M214" s="31"/>
      <c r="P214" s="30">
        <f>P215</f>
        <v>0</v>
      </c>
      <c r="R214" s="30">
        <f>R215</f>
        <v>0</v>
      </c>
      <c r="T214" s="29">
        <f>T215</f>
        <v>0</v>
      </c>
      <c r="AR214" s="27" t="s">
        <v>2</v>
      </c>
      <c r="AT214" s="28" t="s">
        <v>26</v>
      </c>
      <c r="AU214" s="28" t="s">
        <v>2</v>
      </c>
      <c r="AY214" s="27" t="s">
        <v>3</v>
      </c>
      <c r="BK214" s="26">
        <f>BK215</f>
        <v>0</v>
      </c>
    </row>
    <row r="215" spans="2:65" s="2" customFormat="1" ht="16.5" customHeight="1">
      <c r="B215" s="3"/>
      <c r="C215" s="20" t="s">
        <v>206</v>
      </c>
      <c r="D215" s="20" t="s">
        <v>4</v>
      </c>
      <c r="E215" s="19" t="s">
        <v>497</v>
      </c>
      <c r="F215" s="14" t="s">
        <v>496</v>
      </c>
      <c r="G215" s="18" t="s">
        <v>21</v>
      </c>
      <c r="H215" s="17">
        <v>110</v>
      </c>
      <c r="I215" s="16"/>
      <c r="J215" s="15">
        <f>ROUND(I215*H215,2)</f>
        <v>0</v>
      </c>
      <c r="K215" s="14" t="s">
        <v>7</v>
      </c>
      <c r="L215" s="3"/>
      <c r="M215" s="24" t="s">
        <v>6</v>
      </c>
      <c r="N215" s="23" t="s">
        <v>5</v>
      </c>
      <c r="P215" s="22">
        <f>O215*H215</f>
        <v>0</v>
      </c>
      <c r="Q215" s="22">
        <v>0</v>
      </c>
      <c r="R215" s="22">
        <f>Q215*H215</f>
        <v>0</v>
      </c>
      <c r="S215" s="22">
        <v>0</v>
      </c>
      <c r="T215" s="21">
        <f>S215*H215</f>
        <v>0</v>
      </c>
      <c r="AR215" s="6" t="s">
        <v>1</v>
      </c>
      <c r="AT215" s="6" t="s">
        <v>4</v>
      </c>
      <c r="AU215" s="6" t="s">
        <v>365</v>
      </c>
      <c r="AY215" s="7" t="s">
        <v>3</v>
      </c>
      <c r="BE215" s="8">
        <f>IF(N215="základní",J215,0)</f>
        <v>0</v>
      </c>
      <c r="BF215" s="8">
        <f>IF(N215="snížená",J215,0)</f>
        <v>0</v>
      </c>
      <c r="BG215" s="8">
        <f>IF(N215="zákl. přenesená",J215,0)</f>
        <v>0</v>
      </c>
      <c r="BH215" s="8">
        <f>IF(N215="sníž. přenesená",J215,0)</f>
        <v>0</v>
      </c>
      <c r="BI215" s="8">
        <f>IF(N215="nulová",J215,0)</f>
        <v>0</v>
      </c>
      <c r="BJ215" s="7" t="s">
        <v>2</v>
      </c>
      <c r="BK215" s="8">
        <f>ROUND(I215*H215,2)</f>
        <v>0</v>
      </c>
      <c r="BL215" s="7" t="s">
        <v>1</v>
      </c>
      <c r="BM215" s="6" t="s">
        <v>204</v>
      </c>
    </row>
    <row r="216" spans="2:65" s="25" customFormat="1" ht="22.9" customHeight="1">
      <c r="B216" s="32"/>
      <c r="D216" s="27" t="s">
        <v>26</v>
      </c>
      <c r="E216" s="98" t="s">
        <v>495</v>
      </c>
      <c r="F216" s="98" t="s">
        <v>494</v>
      </c>
      <c r="I216" s="34"/>
      <c r="J216" s="97">
        <f>BK216</f>
        <v>0</v>
      </c>
      <c r="L216" s="32"/>
      <c r="M216" s="31"/>
      <c r="P216" s="30">
        <f>SUM(P217:P218)</f>
        <v>0</v>
      </c>
      <c r="R216" s="30">
        <f>SUM(R217:R218)</f>
        <v>0</v>
      </c>
      <c r="T216" s="29">
        <f>SUM(T217:T218)</f>
        <v>0</v>
      </c>
      <c r="AR216" s="27" t="s">
        <v>2</v>
      </c>
      <c r="AT216" s="28" t="s">
        <v>26</v>
      </c>
      <c r="AU216" s="28" t="s">
        <v>2</v>
      </c>
      <c r="AY216" s="27" t="s">
        <v>3</v>
      </c>
      <c r="BK216" s="26">
        <f>SUM(BK217:BK218)</f>
        <v>0</v>
      </c>
    </row>
    <row r="217" spans="2:65" s="2" customFormat="1" ht="16.5" customHeight="1">
      <c r="B217" s="3"/>
      <c r="C217" s="20" t="s">
        <v>203</v>
      </c>
      <c r="D217" s="20" t="s">
        <v>4</v>
      </c>
      <c r="E217" s="19" t="s">
        <v>493</v>
      </c>
      <c r="F217" s="14" t="s">
        <v>492</v>
      </c>
      <c r="G217" s="18" t="s">
        <v>21</v>
      </c>
      <c r="H217" s="17">
        <v>120</v>
      </c>
      <c r="I217" s="16"/>
      <c r="J217" s="15">
        <f>ROUND(I217*H217,2)</f>
        <v>0</v>
      </c>
      <c r="K217" s="14" t="s">
        <v>7</v>
      </c>
      <c r="L217" s="3"/>
      <c r="M217" s="24" t="s">
        <v>6</v>
      </c>
      <c r="N217" s="23" t="s">
        <v>5</v>
      </c>
      <c r="P217" s="22">
        <f>O217*H217</f>
        <v>0</v>
      </c>
      <c r="Q217" s="22">
        <v>0</v>
      </c>
      <c r="R217" s="22">
        <f>Q217*H217</f>
        <v>0</v>
      </c>
      <c r="S217" s="22">
        <v>0</v>
      </c>
      <c r="T217" s="21">
        <f>S217*H217</f>
        <v>0</v>
      </c>
      <c r="AR217" s="6" t="s">
        <v>1</v>
      </c>
      <c r="AT217" s="6" t="s">
        <v>4</v>
      </c>
      <c r="AU217" s="6" t="s">
        <v>365</v>
      </c>
      <c r="AY217" s="7" t="s">
        <v>3</v>
      </c>
      <c r="BE217" s="8">
        <f>IF(N217="základní",J217,0)</f>
        <v>0</v>
      </c>
      <c r="BF217" s="8">
        <f>IF(N217="snížená",J217,0)</f>
        <v>0</v>
      </c>
      <c r="BG217" s="8">
        <f>IF(N217="zákl. přenesená",J217,0)</f>
        <v>0</v>
      </c>
      <c r="BH217" s="8">
        <f>IF(N217="sníž. přenesená",J217,0)</f>
        <v>0</v>
      </c>
      <c r="BI217" s="8">
        <f>IF(N217="nulová",J217,0)</f>
        <v>0</v>
      </c>
      <c r="BJ217" s="7" t="s">
        <v>2</v>
      </c>
      <c r="BK217" s="8">
        <f>ROUND(I217*H217,2)</f>
        <v>0</v>
      </c>
      <c r="BL217" s="7" t="s">
        <v>1</v>
      </c>
      <c r="BM217" s="6" t="s">
        <v>200</v>
      </c>
    </row>
    <row r="218" spans="2:65" s="2" customFormat="1" ht="16.5" customHeight="1">
      <c r="B218" s="3"/>
      <c r="C218" s="20" t="s">
        <v>199</v>
      </c>
      <c r="D218" s="20" t="s">
        <v>4</v>
      </c>
      <c r="E218" s="19" t="s">
        <v>491</v>
      </c>
      <c r="F218" s="14" t="s">
        <v>490</v>
      </c>
      <c r="G218" s="18" t="s">
        <v>21</v>
      </c>
      <c r="H218" s="17">
        <v>120</v>
      </c>
      <c r="I218" s="16"/>
      <c r="J218" s="15">
        <f>ROUND(I218*H218,2)</f>
        <v>0</v>
      </c>
      <c r="K218" s="14" t="s">
        <v>7</v>
      </c>
      <c r="L218" s="3"/>
      <c r="M218" s="24" t="s">
        <v>6</v>
      </c>
      <c r="N218" s="23" t="s">
        <v>5</v>
      </c>
      <c r="P218" s="22">
        <f>O218*H218</f>
        <v>0</v>
      </c>
      <c r="Q218" s="22">
        <v>0</v>
      </c>
      <c r="R218" s="22">
        <f>Q218*H218</f>
        <v>0</v>
      </c>
      <c r="S218" s="22">
        <v>0</v>
      </c>
      <c r="T218" s="21">
        <f>S218*H218</f>
        <v>0</v>
      </c>
      <c r="AR218" s="6" t="s">
        <v>1</v>
      </c>
      <c r="AT218" s="6" t="s">
        <v>4</v>
      </c>
      <c r="AU218" s="6" t="s">
        <v>365</v>
      </c>
      <c r="AY218" s="7" t="s">
        <v>3</v>
      </c>
      <c r="BE218" s="8">
        <f>IF(N218="základní",J218,0)</f>
        <v>0</v>
      </c>
      <c r="BF218" s="8">
        <f>IF(N218="snížená",J218,0)</f>
        <v>0</v>
      </c>
      <c r="BG218" s="8">
        <f>IF(N218="zákl. přenesená",J218,0)</f>
        <v>0</v>
      </c>
      <c r="BH218" s="8">
        <f>IF(N218="sníž. přenesená",J218,0)</f>
        <v>0</v>
      </c>
      <c r="BI218" s="8">
        <f>IF(N218="nulová",J218,0)</f>
        <v>0</v>
      </c>
      <c r="BJ218" s="7" t="s">
        <v>2</v>
      </c>
      <c r="BK218" s="8">
        <f>ROUND(I218*H218,2)</f>
        <v>0</v>
      </c>
      <c r="BL218" s="7" t="s">
        <v>1</v>
      </c>
      <c r="BM218" s="6" t="s">
        <v>196</v>
      </c>
    </row>
    <row r="219" spans="2:65" s="25" customFormat="1" ht="22.9" customHeight="1">
      <c r="B219" s="32"/>
      <c r="D219" s="27" t="s">
        <v>26</v>
      </c>
      <c r="E219" s="98" t="s">
        <v>489</v>
      </c>
      <c r="F219" s="98" t="s">
        <v>488</v>
      </c>
      <c r="I219" s="34"/>
      <c r="J219" s="97">
        <f>BK219</f>
        <v>0</v>
      </c>
      <c r="L219" s="32"/>
      <c r="M219" s="31"/>
      <c r="P219" s="30">
        <f>P220</f>
        <v>0</v>
      </c>
      <c r="R219" s="30">
        <f>R220</f>
        <v>0</v>
      </c>
      <c r="T219" s="29">
        <f>T220</f>
        <v>0</v>
      </c>
      <c r="AR219" s="27" t="s">
        <v>2</v>
      </c>
      <c r="AT219" s="28" t="s">
        <v>26</v>
      </c>
      <c r="AU219" s="28" t="s">
        <v>2</v>
      </c>
      <c r="AY219" s="27" t="s">
        <v>3</v>
      </c>
      <c r="BK219" s="26">
        <f>BK220</f>
        <v>0</v>
      </c>
    </row>
    <row r="220" spans="2:65" s="2" customFormat="1" ht="16.5" customHeight="1">
      <c r="B220" s="3"/>
      <c r="C220" s="20" t="s">
        <v>195</v>
      </c>
      <c r="D220" s="20" t="s">
        <v>4</v>
      </c>
      <c r="E220" s="19" t="s">
        <v>487</v>
      </c>
      <c r="F220" s="14" t="s">
        <v>486</v>
      </c>
      <c r="G220" s="18" t="s">
        <v>8</v>
      </c>
      <c r="H220" s="17">
        <v>3</v>
      </c>
      <c r="I220" s="16"/>
      <c r="J220" s="15">
        <f>ROUND(I220*H220,2)</f>
        <v>0</v>
      </c>
      <c r="K220" s="14" t="s">
        <v>7</v>
      </c>
      <c r="L220" s="3"/>
      <c r="M220" s="24" t="s">
        <v>6</v>
      </c>
      <c r="N220" s="23" t="s">
        <v>5</v>
      </c>
      <c r="P220" s="22">
        <f>O220*H220</f>
        <v>0</v>
      </c>
      <c r="Q220" s="22">
        <v>0</v>
      </c>
      <c r="R220" s="22">
        <f>Q220*H220</f>
        <v>0</v>
      </c>
      <c r="S220" s="22">
        <v>0</v>
      </c>
      <c r="T220" s="21">
        <f>S220*H220</f>
        <v>0</v>
      </c>
      <c r="AR220" s="6" t="s">
        <v>1</v>
      </c>
      <c r="AT220" s="6" t="s">
        <v>4</v>
      </c>
      <c r="AU220" s="6" t="s">
        <v>365</v>
      </c>
      <c r="AY220" s="7" t="s">
        <v>3</v>
      </c>
      <c r="BE220" s="8">
        <f>IF(N220="základní",J220,0)</f>
        <v>0</v>
      </c>
      <c r="BF220" s="8">
        <f>IF(N220="snížená",J220,0)</f>
        <v>0</v>
      </c>
      <c r="BG220" s="8">
        <f>IF(N220="zákl. přenesená",J220,0)</f>
        <v>0</v>
      </c>
      <c r="BH220" s="8">
        <f>IF(N220="sníž. přenesená",J220,0)</f>
        <v>0</v>
      </c>
      <c r="BI220" s="8">
        <f>IF(N220="nulová",J220,0)</f>
        <v>0</v>
      </c>
      <c r="BJ220" s="7" t="s">
        <v>2</v>
      </c>
      <c r="BK220" s="8">
        <f>ROUND(I220*H220,2)</f>
        <v>0</v>
      </c>
      <c r="BL220" s="7" t="s">
        <v>1</v>
      </c>
      <c r="BM220" s="6" t="s">
        <v>192</v>
      </c>
    </row>
    <row r="221" spans="2:65" s="25" customFormat="1" ht="22.9" customHeight="1">
      <c r="B221" s="32"/>
      <c r="D221" s="27" t="s">
        <v>26</v>
      </c>
      <c r="E221" s="98" t="s">
        <v>485</v>
      </c>
      <c r="F221" s="98" t="s">
        <v>484</v>
      </c>
      <c r="I221" s="34"/>
      <c r="J221" s="97">
        <f>BK221</f>
        <v>0</v>
      </c>
      <c r="L221" s="32"/>
      <c r="M221" s="31"/>
      <c r="P221" s="30">
        <f>P222</f>
        <v>0</v>
      </c>
      <c r="R221" s="30">
        <f>R222</f>
        <v>0</v>
      </c>
      <c r="T221" s="29">
        <f>T222</f>
        <v>0</v>
      </c>
      <c r="AR221" s="27" t="s">
        <v>2</v>
      </c>
      <c r="AT221" s="28" t="s">
        <v>26</v>
      </c>
      <c r="AU221" s="28" t="s">
        <v>2</v>
      </c>
      <c r="AY221" s="27" t="s">
        <v>3</v>
      </c>
      <c r="BK221" s="26">
        <f>BK222</f>
        <v>0</v>
      </c>
    </row>
    <row r="222" spans="2:65" s="2" customFormat="1" ht="16.5" customHeight="1">
      <c r="B222" s="3"/>
      <c r="C222" s="20" t="s">
        <v>191</v>
      </c>
      <c r="D222" s="20" t="s">
        <v>4</v>
      </c>
      <c r="E222" s="19" t="s">
        <v>483</v>
      </c>
      <c r="F222" s="14" t="s">
        <v>482</v>
      </c>
      <c r="G222" s="18" t="s">
        <v>30</v>
      </c>
      <c r="H222" s="17">
        <v>8</v>
      </c>
      <c r="I222" s="16"/>
      <c r="J222" s="15">
        <f>ROUND(I222*H222,2)</f>
        <v>0</v>
      </c>
      <c r="K222" s="14" t="s">
        <v>7</v>
      </c>
      <c r="L222" s="3"/>
      <c r="M222" s="24" t="s">
        <v>6</v>
      </c>
      <c r="N222" s="23" t="s">
        <v>5</v>
      </c>
      <c r="P222" s="22">
        <f>O222*H222</f>
        <v>0</v>
      </c>
      <c r="Q222" s="22">
        <v>0</v>
      </c>
      <c r="R222" s="22">
        <f>Q222*H222</f>
        <v>0</v>
      </c>
      <c r="S222" s="22">
        <v>0</v>
      </c>
      <c r="T222" s="21">
        <f>S222*H222</f>
        <v>0</v>
      </c>
      <c r="AR222" s="6" t="s">
        <v>1</v>
      </c>
      <c r="AT222" s="6" t="s">
        <v>4</v>
      </c>
      <c r="AU222" s="6" t="s">
        <v>365</v>
      </c>
      <c r="AY222" s="7" t="s">
        <v>3</v>
      </c>
      <c r="BE222" s="8">
        <f>IF(N222="základní",J222,0)</f>
        <v>0</v>
      </c>
      <c r="BF222" s="8">
        <f>IF(N222="snížená",J222,0)</f>
        <v>0</v>
      </c>
      <c r="BG222" s="8">
        <f>IF(N222="zákl. přenesená",J222,0)</f>
        <v>0</v>
      </c>
      <c r="BH222" s="8">
        <f>IF(N222="sníž. přenesená",J222,0)</f>
        <v>0</v>
      </c>
      <c r="BI222" s="8">
        <f>IF(N222="nulová",J222,0)</f>
        <v>0</v>
      </c>
      <c r="BJ222" s="7" t="s">
        <v>2</v>
      </c>
      <c r="BK222" s="8">
        <f>ROUND(I222*H222,2)</f>
        <v>0</v>
      </c>
      <c r="BL222" s="7" t="s">
        <v>1</v>
      </c>
      <c r="BM222" s="6" t="s">
        <v>188</v>
      </c>
    </row>
    <row r="223" spans="2:65" s="25" customFormat="1" ht="22.9" customHeight="1">
      <c r="B223" s="32"/>
      <c r="D223" s="27" t="s">
        <v>26</v>
      </c>
      <c r="E223" s="98" t="s">
        <v>481</v>
      </c>
      <c r="F223" s="98" t="s">
        <v>480</v>
      </c>
      <c r="I223" s="34"/>
      <c r="J223" s="97">
        <f>BK223</f>
        <v>0</v>
      </c>
      <c r="L223" s="32"/>
      <c r="M223" s="31"/>
      <c r="P223" s="30">
        <f>SUM(P224:P233)</f>
        <v>0</v>
      </c>
      <c r="R223" s="30">
        <f>SUM(R224:R233)</f>
        <v>0</v>
      </c>
      <c r="T223" s="29">
        <f>SUM(T224:T233)</f>
        <v>0</v>
      </c>
      <c r="AR223" s="27" t="s">
        <v>2</v>
      </c>
      <c r="AT223" s="28" t="s">
        <v>26</v>
      </c>
      <c r="AU223" s="28" t="s">
        <v>2</v>
      </c>
      <c r="AY223" s="27" t="s">
        <v>3</v>
      </c>
      <c r="BK223" s="26">
        <f>SUM(BK224:BK233)</f>
        <v>0</v>
      </c>
    </row>
    <row r="224" spans="2:65" s="2" customFormat="1" ht="16.5" customHeight="1">
      <c r="B224" s="3"/>
      <c r="C224" s="20" t="s">
        <v>187</v>
      </c>
      <c r="D224" s="20" t="s">
        <v>4</v>
      </c>
      <c r="E224" s="19" t="s">
        <v>479</v>
      </c>
      <c r="F224" s="14" t="s">
        <v>478</v>
      </c>
      <c r="G224" s="18" t="s">
        <v>30</v>
      </c>
      <c r="H224" s="17">
        <v>250</v>
      </c>
      <c r="I224" s="16"/>
      <c r="J224" s="15">
        <f t="shared" ref="J224:J233" si="30">ROUND(I224*H224,2)</f>
        <v>0</v>
      </c>
      <c r="K224" s="14" t="s">
        <v>7</v>
      </c>
      <c r="L224" s="3"/>
      <c r="M224" s="24" t="s">
        <v>6</v>
      </c>
      <c r="N224" s="23" t="s">
        <v>5</v>
      </c>
      <c r="P224" s="22">
        <f t="shared" ref="P224:P233" si="31">O224*H224</f>
        <v>0</v>
      </c>
      <c r="Q224" s="22">
        <v>0</v>
      </c>
      <c r="R224" s="22">
        <f t="shared" ref="R224:R233" si="32">Q224*H224</f>
        <v>0</v>
      </c>
      <c r="S224" s="22">
        <v>0</v>
      </c>
      <c r="T224" s="21">
        <f t="shared" ref="T224:T233" si="33">S224*H224</f>
        <v>0</v>
      </c>
      <c r="AR224" s="6" t="s">
        <v>1</v>
      </c>
      <c r="AT224" s="6" t="s">
        <v>4</v>
      </c>
      <c r="AU224" s="6" t="s">
        <v>365</v>
      </c>
      <c r="AY224" s="7" t="s">
        <v>3</v>
      </c>
      <c r="BE224" s="8">
        <f t="shared" ref="BE224:BE233" si="34">IF(N224="základní",J224,0)</f>
        <v>0</v>
      </c>
      <c r="BF224" s="8">
        <f t="shared" ref="BF224:BF233" si="35">IF(N224="snížená",J224,0)</f>
        <v>0</v>
      </c>
      <c r="BG224" s="8">
        <f t="shared" ref="BG224:BG233" si="36">IF(N224="zákl. přenesená",J224,0)</f>
        <v>0</v>
      </c>
      <c r="BH224" s="8">
        <f t="shared" ref="BH224:BH233" si="37">IF(N224="sníž. přenesená",J224,0)</f>
        <v>0</v>
      </c>
      <c r="BI224" s="8">
        <f t="shared" ref="BI224:BI233" si="38">IF(N224="nulová",J224,0)</f>
        <v>0</v>
      </c>
      <c r="BJ224" s="7" t="s">
        <v>2</v>
      </c>
      <c r="BK224" s="8">
        <f t="shared" ref="BK224:BK233" si="39">ROUND(I224*H224,2)</f>
        <v>0</v>
      </c>
      <c r="BL224" s="7" t="s">
        <v>1</v>
      </c>
      <c r="BM224" s="6" t="s">
        <v>184</v>
      </c>
    </row>
    <row r="225" spans="2:65" s="2" customFormat="1" ht="16.5" customHeight="1">
      <c r="B225" s="3"/>
      <c r="C225" s="20" t="s">
        <v>183</v>
      </c>
      <c r="D225" s="20" t="s">
        <v>4</v>
      </c>
      <c r="E225" s="19" t="s">
        <v>477</v>
      </c>
      <c r="F225" s="14" t="s">
        <v>476</v>
      </c>
      <c r="G225" s="18" t="s">
        <v>30</v>
      </c>
      <c r="H225" s="17">
        <v>150</v>
      </c>
      <c r="I225" s="16"/>
      <c r="J225" s="15">
        <f t="shared" si="30"/>
        <v>0</v>
      </c>
      <c r="K225" s="14" t="s">
        <v>7</v>
      </c>
      <c r="L225" s="3"/>
      <c r="M225" s="24" t="s">
        <v>6</v>
      </c>
      <c r="N225" s="23" t="s">
        <v>5</v>
      </c>
      <c r="P225" s="22">
        <f t="shared" si="31"/>
        <v>0</v>
      </c>
      <c r="Q225" s="22">
        <v>0</v>
      </c>
      <c r="R225" s="22">
        <f t="shared" si="32"/>
        <v>0</v>
      </c>
      <c r="S225" s="22">
        <v>0</v>
      </c>
      <c r="T225" s="21">
        <f t="shared" si="33"/>
        <v>0</v>
      </c>
      <c r="AR225" s="6" t="s">
        <v>1</v>
      </c>
      <c r="AT225" s="6" t="s">
        <v>4</v>
      </c>
      <c r="AU225" s="6" t="s">
        <v>365</v>
      </c>
      <c r="AY225" s="7" t="s">
        <v>3</v>
      </c>
      <c r="BE225" s="8">
        <f t="shared" si="34"/>
        <v>0</v>
      </c>
      <c r="BF225" s="8">
        <f t="shared" si="35"/>
        <v>0</v>
      </c>
      <c r="BG225" s="8">
        <f t="shared" si="36"/>
        <v>0</v>
      </c>
      <c r="BH225" s="8">
        <f t="shared" si="37"/>
        <v>0</v>
      </c>
      <c r="BI225" s="8">
        <f t="shared" si="38"/>
        <v>0</v>
      </c>
      <c r="BJ225" s="7" t="s">
        <v>2</v>
      </c>
      <c r="BK225" s="8">
        <f t="shared" si="39"/>
        <v>0</v>
      </c>
      <c r="BL225" s="7" t="s">
        <v>1</v>
      </c>
      <c r="BM225" s="6" t="s">
        <v>180</v>
      </c>
    </row>
    <row r="226" spans="2:65" s="2" customFormat="1" ht="16.5" customHeight="1">
      <c r="B226" s="3"/>
      <c r="C226" s="20" t="s">
        <v>179</v>
      </c>
      <c r="D226" s="20" t="s">
        <v>4</v>
      </c>
      <c r="E226" s="19" t="s">
        <v>475</v>
      </c>
      <c r="F226" s="14" t="s">
        <v>474</v>
      </c>
      <c r="G226" s="18" t="s">
        <v>30</v>
      </c>
      <c r="H226" s="17">
        <v>15</v>
      </c>
      <c r="I226" s="16"/>
      <c r="J226" s="15">
        <f t="shared" si="30"/>
        <v>0</v>
      </c>
      <c r="K226" s="14" t="s">
        <v>7</v>
      </c>
      <c r="L226" s="3"/>
      <c r="M226" s="24" t="s">
        <v>6</v>
      </c>
      <c r="N226" s="23" t="s">
        <v>5</v>
      </c>
      <c r="P226" s="22">
        <f t="shared" si="31"/>
        <v>0</v>
      </c>
      <c r="Q226" s="22">
        <v>0</v>
      </c>
      <c r="R226" s="22">
        <f t="shared" si="32"/>
        <v>0</v>
      </c>
      <c r="S226" s="22">
        <v>0</v>
      </c>
      <c r="T226" s="21">
        <f t="shared" si="33"/>
        <v>0</v>
      </c>
      <c r="AR226" s="6" t="s">
        <v>1</v>
      </c>
      <c r="AT226" s="6" t="s">
        <v>4</v>
      </c>
      <c r="AU226" s="6" t="s">
        <v>365</v>
      </c>
      <c r="AY226" s="7" t="s">
        <v>3</v>
      </c>
      <c r="BE226" s="8">
        <f t="shared" si="34"/>
        <v>0</v>
      </c>
      <c r="BF226" s="8">
        <f t="shared" si="35"/>
        <v>0</v>
      </c>
      <c r="BG226" s="8">
        <f t="shared" si="36"/>
        <v>0</v>
      </c>
      <c r="BH226" s="8">
        <f t="shared" si="37"/>
        <v>0</v>
      </c>
      <c r="BI226" s="8">
        <f t="shared" si="38"/>
        <v>0</v>
      </c>
      <c r="BJ226" s="7" t="s">
        <v>2</v>
      </c>
      <c r="BK226" s="8">
        <f t="shared" si="39"/>
        <v>0</v>
      </c>
      <c r="BL226" s="7" t="s">
        <v>1</v>
      </c>
      <c r="BM226" s="6" t="s">
        <v>177</v>
      </c>
    </row>
    <row r="227" spans="2:65" s="2" customFormat="1" ht="16.5" customHeight="1">
      <c r="B227" s="3"/>
      <c r="C227" s="20" t="s">
        <v>176</v>
      </c>
      <c r="D227" s="20" t="s">
        <v>4</v>
      </c>
      <c r="E227" s="19" t="s">
        <v>473</v>
      </c>
      <c r="F227" s="14" t="s">
        <v>472</v>
      </c>
      <c r="G227" s="18" t="s">
        <v>30</v>
      </c>
      <c r="H227" s="17">
        <v>35</v>
      </c>
      <c r="I227" s="16"/>
      <c r="J227" s="15">
        <f t="shared" si="30"/>
        <v>0</v>
      </c>
      <c r="K227" s="14" t="s">
        <v>7</v>
      </c>
      <c r="L227" s="3"/>
      <c r="M227" s="24" t="s">
        <v>6</v>
      </c>
      <c r="N227" s="23" t="s">
        <v>5</v>
      </c>
      <c r="P227" s="22">
        <f t="shared" si="31"/>
        <v>0</v>
      </c>
      <c r="Q227" s="22">
        <v>0</v>
      </c>
      <c r="R227" s="22">
        <f t="shared" si="32"/>
        <v>0</v>
      </c>
      <c r="S227" s="22">
        <v>0</v>
      </c>
      <c r="T227" s="21">
        <f t="shared" si="33"/>
        <v>0</v>
      </c>
      <c r="AR227" s="6" t="s">
        <v>1</v>
      </c>
      <c r="AT227" s="6" t="s">
        <v>4</v>
      </c>
      <c r="AU227" s="6" t="s">
        <v>365</v>
      </c>
      <c r="AY227" s="7" t="s">
        <v>3</v>
      </c>
      <c r="BE227" s="8">
        <f t="shared" si="34"/>
        <v>0</v>
      </c>
      <c r="BF227" s="8">
        <f t="shared" si="35"/>
        <v>0</v>
      </c>
      <c r="BG227" s="8">
        <f t="shared" si="36"/>
        <v>0</v>
      </c>
      <c r="BH227" s="8">
        <f t="shared" si="37"/>
        <v>0</v>
      </c>
      <c r="BI227" s="8">
        <f t="shared" si="38"/>
        <v>0</v>
      </c>
      <c r="BJ227" s="7" t="s">
        <v>2</v>
      </c>
      <c r="BK227" s="8">
        <f t="shared" si="39"/>
        <v>0</v>
      </c>
      <c r="BL227" s="7" t="s">
        <v>1</v>
      </c>
      <c r="BM227" s="6" t="s">
        <v>174</v>
      </c>
    </row>
    <row r="228" spans="2:65" s="2" customFormat="1" ht="16.5" customHeight="1">
      <c r="B228" s="3"/>
      <c r="C228" s="20" t="s">
        <v>173</v>
      </c>
      <c r="D228" s="20" t="s">
        <v>4</v>
      </c>
      <c r="E228" s="19" t="s">
        <v>471</v>
      </c>
      <c r="F228" s="14" t="s">
        <v>470</v>
      </c>
      <c r="G228" s="18" t="s">
        <v>30</v>
      </c>
      <c r="H228" s="17">
        <v>30</v>
      </c>
      <c r="I228" s="16"/>
      <c r="J228" s="15">
        <f t="shared" si="30"/>
        <v>0</v>
      </c>
      <c r="K228" s="14" t="s">
        <v>7</v>
      </c>
      <c r="L228" s="3"/>
      <c r="M228" s="24" t="s">
        <v>6</v>
      </c>
      <c r="N228" s="23" t="s">
        <v>5</v>
      </c>
      <c r="P228" s="22">
        <f t="shared" si="31"/>
        <v>0</v>
      </c>
      <c r="Q228" s="22">
        <v>0</v>
      </c>
      <c r="R228" s="22">
        <f t="shared" si="32"/>
        <v>0</v>
      </c>
      <c r="S228" s="22">
        <v>0</v>
      </c>
      <c r="T228" s="21">
        <f t="shared" si="33"/>
        <v>0</v>
      </c>
      <c r="AR228" s="6" t="s">
        <v>1</v>
      </c>
      <c r="AT228" s="6" t="s">
        <v>4</v>
      </c>
      <c r="AU228" s="6" t="s">
        <v>365</v>
      </c>
      <c r="AY228" s="7" t="s">
        <v>3</v>
      </c>
      <c r="BE228" s="8">
        <f t="shared" si="34"/>
        <v>0</v>
      </c>
      <c r="BF228" s="8">
        <f t="shared" si="35"/>
        <v>0</v>
      </c>
      <c r="BG228" s="8">
        <f t="shared" si="36"/>
        <v>0</v>
      </c>
      <c r="BH228" s="8">
        <f t="shared" si="37"/>
        <v>0</v>
      </c>
      <c r="BI228" s="8">
        <f t="shared" si="38"/>
        <v>0</v>
      </c>
      <c r="BJ228" s="7" t="s">
        <v>2</v>
      </c>
      <c r="BK228" s="8">
        <f t="shared" si="39"/>
        <v>0</v>
      </c>
      <c r="BL228" s="7" t="s">
        <v>1</v>
      </c>
      <c r="BM228" s="6" t="s">
        <v>170</v>
      </c>
    </row>
    <row r="229" spans="2:65" s="2" customFormat="1" ht="16.5" customHeight="1">
      <c r="B229" s="3"/>
      <c r="C229" s="20" t="s">
        <v>169</v>
      </c>
      <c r="D229" s="20" t="s">
        <v>4</v>
      </c>
      <c r="E229" s="19" t="s">
        <v>469</v>
      </c>
      <c r="F229" s="14" t="s">
        <v>468</v>
      </c>
      <c r="G229" s="18" t="s">
        <v>30</v>
      </c>
      <c r="H229" s="17">
        <v>72</v>
      </c>
      <c r="I229" s="16"/>
      <c r="J229" s="15">
        <f t="shared" si="30"/>
        <v>0</v>
      </c>
      <c r="K229" s="14" t="s">
        <v>7</v>
      </c>
      <c r="L229" s="3"/>
      <c r="M229" s="24" t="s">
        <v>6</v>
      </c>
      <c r="N229" s="23" t="s">
        <v>5</v>
      </c>
      <c r="P229" s="22">
        <f t="shared" si="31"/>
        <v>0</v>
      </c>
      <c r="Q229" s="22">
        <v>0</v>
      </c>
      <c r="R229" s="22">
        <f t="shared" si="32"/>
        <v>0</v>
      </c>
      <c r="S229" s="22">
        <v>0</v>
      </c>
      <c r="T229" s="21">
        <f t="shared" si="33"/>
        <v>0</v>
      </c>
      <c r="AR229" s="6" t="s">
        <v>1</v>
      </c>
      <c r="AT229" s="6" t="s">
        <v>4</v>
      </c>
      <c r="AU229" s="6" t="s">
        <v>365</v>
      </c>
      <c r="AY229" s="7" t="s">
        <v>3</v>
      </c>
      <c r="BE229" s="8">
        <f t="shared" si="34"/>
        <v>0</v>
      </c>
      <c r="BF229" s="8">
        <f t="shared" si="35"/>
        <v>0</v>
      </c>
      <c r="BG229" s="8">
        <f t="shared" si="36"/>
        <v>0</v>
      </c>
      <c r="BH229" s="8">
        <f t="shared" si="37"/>
        <v>0</v>
      </c>
      <c r="BI229" s="8">
        <f t="shared" si="38"/>
        <v>0</v>
      </c>
      <c r="BJ229" s="7" t="s">
        <v>2</v>
      </c>
      <c r="BK229" s="8">
        <f t="shared" si="39"/>
        <v>0</v>
      </c>
      <c r="BL229" s="7" t="s">
        <v>1</v>
      </c>
      <c r="BM229" s="6" t="s">
        <v>167</v>
      </c>
    </row>
    <row r="230" spans="2:65" s="2" customFormat="1" ht="16.5" customHeight="1">
      <c r="B230" s="3"/>
      <c r="C230" s="20" t="s">
        <v>166</v>
      </c>
      <c r="D230" s="20" t="s">
        <v>4</v>
      </c>
      <c r="E230" s="19" t="s">
        <v>467</v>
      </c>
      <c r="F230" s="14" t="s">
        <v>466</v>
      </c>
      <c r="G230" s="18" t="s">
        <v>30</v>
      </c>
      <c r="H230" s="17">
        <v>8</v>
      </c>
      <c r="I230" s="16"/>
      <c r="J230" s="15">
        <f t="shared" si="30"/>
        <v>0</v>
      </c>
      <c r="K230" s="14" t="s">
        <v>7</v>
      </c>
      <c r="L230" s="3"/>
      <c r="M230" s="24" t="s">
        <v>6</v>
      </c>
      <c r="N230" s="23" t="s">
        <v>5</v>
      </c>
      <c r="P230" s="22">
        <f t="shared" si="31"/>
        <v>0</v>
      </c>
      <c r="Q230" s="22">
        <v>0</v>
      </c>
      <c r="R230" s="22">
        <f t="shared" si="32"/>
        <v>0</v>
      </c>
      <c r="S230" s="22">
        <v>0</v>
      </c>
      <c r="T230" s="21">
        <f t="shared" si="33"/>
        <v>0</v>
      </c>
      <c r="AR230" s="6" t="s">
        <v>1</v>
      </c>
      <c r="AT230" s="6" t="s">
        <v>4</v>
      </c>
      <c r="AU230" s="6" t="s">
        <v>365</v>
      </c>
      <c r="AY230" s="7" t="s">
        <v>3</v>
      </c>
      <c r="BE230" s="8">
        <f t="shared" si="34"/>
        <v>0</v>
      </c>
      <c r="BF230" s="8">
        <f t="shared" si="35"/>
        <v>0</v>
      </c>
      <c r="BG230" s="8">
        <f t="shared" si="36"/>
        <v>0</v>
      </c>
      <c r="BH230" s="8">
        <f t="shared" si="37"/>
        <v>0</v>
      </c>
      <c r="BI230" s="8">
        <f t="shared" si="38"/>
        <v>0</v>
      </c>
      <c r="BJ230" s="7" t="s">
        <v>2</v>
      </c>
      <c r="BK230" s="8">
        <f t="shared" si="39"/>
        <v>0</v>
      </c>
      <c r="BL230" s="7" t="s">
        <v>1</v>
      </c>
      <c r="BM230" s="6" t="s">
        <v>164</v>
      </c>
    </row>
    <row r="231" spans="2:65" s="2" customFormat="1" ht="16.5" customHeight="1">
      <c r="B231" s="3"/>
      <c r="C231" s="20" t="s">
        <v>163</v>
      </c>
      <c r="D231" s="20" t="s">
        <v>4</v>
      </c>
      <c r="E231" s="19" t="s">
        <v>465</v>
      </c>
      <c r="F231" s="14" t="s">
        <v>464</v>
      </c>
      <c r="G231" s="18" t="s">
        <v>30</v>
      </c>
      <c r="H231" s="17">
        <v>25</v>
      </c>
      <c r="I231" s="16"/>
      <c r="J231" s="15">
        <f t="shared" si="30"/>
        <v>0</v>
      </c>
      <c r="K231" s="14" t="s">
        <v>7</v>
      </c>
      <c r="L231" s="3"/>
      <c r="M231" s="24" t="s">
        <v>6</v>
      </c>
      <c r="N231" s="23" t="s">
        <v>5</v>
      </c>
      <c r="P231" s="22">
        <f t="shared" si="31"/>
        <v>0</v>
      </c>
      <c r="Q231" s="22">
        <v>0</v>
      </c>
      <c r="R231" s="22">
        <f t="shared" si="32"/>
        <v>0</v>
      </c>
      <c r="S231" s="22">
        <v>0</v>
      </c>
      <c r="T231" s="21">
        <f t="shared" si="33"/>
        <v>0</v>
      </c>
      <c r="AR231" s="6" t="s">
        <v>1</v>
      </c>
      <c r="AT231" s="6" t="s">
        <v>4</v>
      </c>
      <c r="AU231" s="6" t="s">
        <v>365</v>
      </c>
      <c r="AY231" s="7" t="s">
        <v>3</v>
      </c>
      <c r="BE231" s="8">
        <f t="shared" si="34"/>
        <v>0</v>
      </c>
      <c r="BF231" s="8">
        <f t="shared" si="35"/>
        <v>0</v>
      </c>
      <c r="BG231" s="8">
        <f t="shared" si="36"/>
        <v>0</v>
      </c>
      <c r="BH231" s="8">
        <f t="shared" si="37"/>
        <v>0</v>
      </c>
      <c r="BI231" s="8">
        <f t="shared" si="38"/>
        <v>0</v>
      </c>
      <c r="BJ231" s="7" t="s">
        <v>2</v>
      </c>
      <c r="BK231" s="8">
        <f t="shared" si="39"/>
        <v>0</v>
      </c>
      <c r="BL231" s="7" t="s">
        <v>1</v>
      </c>
      <c r="BM231" s="6" t="s">
        <v>160</v>
      </c>
    </row>
    <row r="232" spans="2:65" s="2" customFormat="1" ht="16.5" customHeight="1">
      <c r="B232" s="3"/>
      <c r="C232" s="20" t="s">
        <v>159</v>
      </c>
      <c r="D232" s="20" t="s">
        <v>4</v>
      </c>
      <c r="E232" s="19" t="s">
        <v>463</v>
      </c>
      <c r="F232" s="14" t="s">
        <v>462</v>
      </c>
      <c r="G232" s="18" t="s">
        <v>30</v>
      </c>
      <c r="H232" s="17">
        <v>35</v>
      </c>
      <c r="I232" s="16"/>
      <c r="J232" s="15">
        <f t="shared" si="30"/>
        <v>0</v>
      </c>
      <c r="K232" s="14" t="s">
        <v>7</v>
      </c>
      <c r="L232" s="3"/>
      <c r="M232" s="24" t="s">
        <v>6</v>
      </c>
      <c r="N232" s="23" t="s">
        <v>5</v>
      </c>
      <c r="P232" s="22">
        <f t="shared" si="31"/>
        <v>0</v>
      </c>
      <c r="Q232" s="22">
        <v>0</v>
      </c>
      <c r="R232" s="22">
        <f t="shared" si="32"/>
        <v>0</v>
      </c>
      <c r="S232" s="22">
        <v>0</v>
      </c>
      <c r="T232" s="21">
        <f t="shared" si="33"/>
        <v>0</v>
      </c>
      <c r="AR232" s="6" t="s">
        <v>1</v>
      </c>
      <c r="AT232" s="6" t="s">
        <v>4</v>
      </c>
      <c r="AU232" s="6" t="s">
        <v>365</v>
      </c>
      <c r="AY232" s="7" t="s">
        <v>3</v>
      </c>
      <c r="BE232" s="8">
        <f t="shared" si="34"/>
        <v>0</v>
      </c>
      <c r="BF232" s="8">
        <f t="shared" si="35"/>
        <v>0</v>
      </c>
      <c r="BG232" s="8">
        <f t="shared" si="36"/>
        <v>0</v>
      </c>
      <c r="BH232" s="8">
        <f t="shared" si="37"/>
        <v>0</v>
      </c>
      <c r="BI232" s="8">
        <f t="shared" si="38"/>
        <v>0</v>
      </c>
      <c r="BJ232" s="7" t="s">
        <v>2</v>
      </c>
      <c r="BK232" s="8">
        <f t="shared" si="39"/>
        <v>0</v>
      </c>
      <c r="BL232" s="7" t="s">
        <v>1</v>
      </c>
      <c r="BM232" s="6" t="s">
        <v>156</v>
      </c>
    </row>
    <row r="233" spans="2:65" s="2" customFormat="1" ht="16.5" customHeight="1">
      <c r="B233" s="3"/>
      <c r="C233" s="20" t="s">
        <v>155</v>
      </c>
      <c r="D233" s="20" t="s">
        <v>4</v>
      </c>
      <c r="E233" s="19" t="s">
        <v>461</v>
      </c>
      <c r="F233" s="14" t="s">
        <v>460</v>
      </c>
      <c r="G233" s="18" t="s">
        <v>30</v>
      </c>
      <c r="H233" s="17">
        <v>8</v>
      </c>
      <c r="I233" s="16"/>
      <c r="J233" s="15">
        <f t="shared" si="30"/>
        <v>0</v>
      </c>
      <c r="K233" s="14" t="s">
        <v>7</v>
      </c>
      <c r="L233" s="3"/>
      <c r="M233" s="24" t="s">
        <v>6</v>
      </c>
      <c r="N233" s="23" t="s">
        <v>5</v>
      </c>
      <c r="P233" s="22">
        <f t="shared" si="31"/>
        <v>0</v>
      </c>
      <c r="Q233" s="22">
        <v>0</v>
      </c>
      <c r="R233" s="22">
        <f t="shared" si="32"/>
        <v>0</v>
      </c>
      <c r="S233" s="22">
        <v>0</v>
      </c>
      <c r="T233" s="21">
        <f t="shared" si="33"/>
        <v>0</v>
      </c>
      <c r="AR233" s="6" t="s">
        <v>1</v>
      </c>
      <c r="AT233" s="6" t="s">
        <v>4</v>
      </c>
      <c r="AU233" s="6" t="s">
        <v>365</v>
      </c>
      <c r="AY233" s="7" t="s">
        <v>3</v>
      </c>
      <c r="BE233" s="8">
        <f t="shared" si="34"/>
        <v>0</v>
      </c>
      <c r="BF233" s="8">
        <f t="shared" si="35"/>
        <v>0</v>
      </c>
      <c r="BG233" s="8">
        <f t="shared" si="36"/>
        <v>0</v>
      </c>
      <c r="BH233" s="8">
        <f t="shared" si="37"/>
        <v>0</v>
      </c>
      <c r="BI233" s="8">
        <f t="shared" si="38"/>
        <v>0</v>
      </c>
      <c r="BJ233" s="7" t="s">
        <v>2</v>
      </c>
      <c r="BK233" s="8">
        <f t="shared" si="39"/>
        <v>0</v>
      </c>
      <c r="BL233" s="7" t="s">
        <v>1</v>
      </c>
      <c r="BM233" s="6" t="s">
        <v>152</v>
      </c>
    </row>
    <row r="234" spans="2:65" s="25" customFormat="1" ht="22.9" customHeight="1">
      <c r="B234" s="32"/>
      <c r="D234" s="27" t="s">
        <v>26</v>
      </c>
      <c r="E234" s="98" t="s">
        <v>459</v>
      </c>
      <c r="F234" s="98" t="s">
        <v>458</v>
      </c>
      <c r="I234" s="34"/>
      <c r="J234" s="97">
        <f>BK234</f>
        <v>0</v>
      </c>
      <c r="L234" s="32"/>
      <c r="M234" s="31"/>
      <c r="P234" s="30">
        <f>P235</f>
        <v>0</v>
      </c>
      <c r="R234" s="30">
        <f>R235</f>
        <v>0</v>
      </c>
      <c r="T234" s="29">
        <f>T235</f>
        <v>0</v>
      </c>
      <c r="AR234" s="27" t="s">
        <v>2</v>
      </c>
      <c r="AT234" s="28" t="s">
        <v>26</v>
      </c>
      <c r="AU234" s="28" t="s">
        <v>2</v>
      </c>
      <c r="AY234" s="27" t="s">
        <v>3</v>
      </c>
      <c r="BK234" s="26">
        <f>BK235</f>
        <v>0</v>
      </c>
    </row>
    <row r="235" spans="2:65" s="2" customFormat="1" ht="16.5" customHeight="1">
      <c r="B235" s="3"/>
      <c r="C235" s="20" t="s">
        <v>151</v>
      </c>
      <c r="D235" s="20" t="s">
        <v>4</v>
      </c>
      <c r="E235" s="19" t="s">
        <v>457</v>
      </c>
      <c r="F235" s="14" t="s">
        <v>456</v>
      </c>
      <c r="G235" s="18" t="s">
        <v>30</v>
      </c>
      <c r="H235" s="17">
        <v>20</v>
      </c>
      <c r="I235" s="16"/>
      <c r="J235" s="15">
        <f>ROUND(I235*H235,2)</f>
        <v>0</v>
      </c>
      <c r="K235" s="14" t="s">
        <v>7</v>
      </c>
      <c r="L235" s="3"/>
      <c r="M235" s="24" t="s">
        <v>6</v>
      </c>
      <c r="N235" s="23" t="s">
        <v>5</v>
      </c>
      <c r="P235" s="22">
        <f>O235*H235</f>
        <v>0</v>
      </c>
      <c r="Q235" s="22">
        <v>0</v>
      </c>
      <c r="R235" s="22">
        <f>Q235*H235</f>
        <v>0</v>
      </c>
      <c r="S235" s="22">
        <v>0</v>
      </c>
      <c r="T235" s="21">
        <f>S235*H235</f>
        <v>0</v>
      </c>
      <c r="AR235" s="6" t="s">
        <v>1</v>
      </c>
      <c r="AT235" s="6" t="s">
        <v>4</v>
      </c>
      <c r="AU235" s="6" t="s">
        <v>365</v>
      </c>
      <c r="AY235" s="7" t="s">
        <v>3</v>
      </c>
      <c r="BE235" s="8">
        <f>IF(N235="základní",J235,0)</f>
        <v>0</v>
      </c>
      <c r="BF235" s="8">
        <f>IF(N235="snížená",J235,0)</f>
        <v>0</v>
      </c>
      <c r="BG235" s="8">
        <f>IF(N235="zákl. přenesená",J235,0)</f>
        <v>0</v>
      </c>
      <c r="BH235" s="8">
        <f>IF(N235="sníž. přenesená",J235,0)</f>
        <v>0</v>
      </c>
      <c r="BI235" s="8">
        <f>IF(N235="nulová",J235,0)</f>
        <v>0</v>
      </c>
      <c r="BJ235" s="7" t="s">
        <v>2</v>
      </c>
      <c r="BK235" s="8">
        <f>ROUND(I235*H235,2)</f>
        <v>0</v>
      </c>
      <c r="BL235" s="7" t="s">
        <v>1</v>
      </c>
      <c r="BM235" s="6" t="s">
        <v>148</v>
      </c>
    </row>
    <row r="236" spans="2:65" s="25" customFormat="1" ht="22.9" customHeight="1">
      <c r="B236" s="32"/>
      <c r="D236" s="27" t="s">
        <v>26</v>
      </c>
      <c r="E236" s="98" t="s">
        <v>455</v>
      </c>
      <c r="F236" s="98" t="s">
        <v>454</v>
      </c>
      <c r="I236" s="34"/>
      <c r="J236" s="97">
        <f>BK236</f>
        <v>0</v>
      </c>
      <c r="L236" s="32"/>
      <c r="M236" s="31"/>
      <c r="P236" s="30">
        <f>P237</f>
        <v>0</v>
      </c>
      <c r="R236" s="30">
        <f>R237</f>
        <v>0</v>
      </c>
      <c r="T236" s="29">
        <f>T237</f>
        <v>0</v>
      </c>
      <c r="AR236" s="27" t="s">
        <v>2</v>
      </c>
      <c r="AT236" s="28" t="s">
        <v>26</v>
      </c>
      <c r="AU236" s="28" t="s">
        <v>2</v>
      </c>
      <c r="AY236" s="27" t="s">
        <v>3</v>
      </c>
      <c r="BK236" s="26">
        <f>BK237</f>
        <v>0</v>
      </c>
    </row>
    <row r="237" spans="2:65" s="2" customFormat="1" ht="16.5" customHeight="1">
      <c r="B237" s="3"/>
      <c r="C237" s="20" t="s">
        <v>147</v>
      </c>
      <c r="D237" s="20" t="s">
        <v>4</v>
      </c>
      <c r="E237" s="19" t="s">
        <v>453</v>
      </c>
      <c r="F237" s="14" t="s">
        <v>452</v>
      </c>
      <c r="G237" s="18" t="s">
        <v>30</v>
      </c>
      <c r="H237" s="17">
        <v>50</v>
      </c>
      <c r="I237" s="16"/>
      <c r="J237" s="15">
        <f>ROUND(I237*H237,2)</f>
        <v>0</v>
      </c>
      <c r="K237" s="14" t="s">
        <v>7</v>
      </c>
      <c r="L237" s="3"/>
      <c r="M237" s="24" t="s">
        <v>6</v>
      </c>
      <c r="N237" s="23" t="s">
        <v>5</v>
      </c>
      <c r="P237" s="22">
        <f>O237*H237</f>
        <v>0</v>
      </c>
      <c r="Q237" s="22">
        <v>0</v>
      </c>
      <c r="R237" s="22">
        <f>Q237*H237</f>
        <v>0</v>
      </c>
      <c r="S237" s="22">
        <v>0</v>
      </c>
      <c r="T237" s="21">
        <f>S237*H237</f>
        <v>0</v>
      </c>
      <c r="AR237" s="6" t="s">
        <v>1</v>
      </c>
      <c r="AT237" s="6" t="s">
        <v>4</v>
      </c>
      <c r="AU237" s="6" t="s">
        <v>365</v>
      </c>
      <c r="AY237" s="7" t="s">
        <v>3</v>
      </c>
      <c r="BE237" s="8">
        <f>IF(N237="základní",J237,0)</f>
        <v>0</v>
      </c>
      <c r="BF237" s="8">
        <f>IF(N237="snížená",J237,0)</f>
        <v>0</v>
      </c>
      <c r="BG237" s="8">
        <f>IF(N237="zákl. přenesená",J237,0)</f>
        <v>0</v>
      </c>
      <c r="BH237" s="8">
        <f>IF(N237="sníž. přenesená",J237,0)</f>
        <v>0</v>
      </c>
      <c r="BI237" s="8">
        <f>IF(N237="nulová",J237,0)</f>
        <v>0</v>
      </c>
      <c r="BJ237" s="7" t="s">
        <v>2</v>
      </c>
      <c r="BK237" s="8">
        <f>ROUND(I237*H237,2)</f>
        <v>0</v>
      </c>
      <c r="BL237" s="7" t="s">
        <v>1</v>
      </c>
      <c r="BM237" s="6" t="s">
        <v>145</v>
      </c>
    </row>
    <row r="238" spans="2:65" s="25" customFormat="1" ht="22.9" customHeight="1">
      <c r="B238" s="32"/>
      <c r="D238" s="27" t="s">
        <v>26</v>
      </c>
      <c r="E238" s="98" t="s">
        <v>451</v>
      </c>
      <c r="F238" s="98" t="s">
        <v>450</v>
      </c>
      <c r="I238" s="34"/>
      <c r="J238" s="97">
        <f>BK238</f>
        <v>0</v>
      </c>
      <c r="L238" s="32"/>
      <c r="M238" s="31"/>
      <c r="P238" s="30">
        <f>P239</f>
        <v>0</v>
      </c>
      <c r="R238" s="30">
        <f>R239</f>
        <v>0</v>
      </c>
      <c r="T238" s="29">
        <f>T239</f>
        <v>0</v>
      </c>
      <c r="AR238" s="27" t="s">
        <v>2</v>
      </c>
      <c r="AT238" s="28" t="s">
        <v>26</v>
      </c>
      <c r="AU238" s="28" t="s">
        <v>2</v>
      </c>
      <c r="AY238" s="27" t="s">
        <v>3</v>
      </c>
      <c r="BK238" s="26">
        <f>BK239</f>
        <v>0</v>
      </c>
    </row>
    <row r="239" spans="2:65" s="2" customFormat="1" ht="16.5" customHeight="1">
      <c r="B239" s="3"/>
      <c r="C239" s="20" t="s">
        <v>144</v>
      </c>
      <c r="D239" s="20" t="s">
        <v>4</v>
      </c>
      <c r="E239" s="19" t="s">
        <v>449</v>
      </c>
      <c r="F239" s="14" t="s">
        <v>448</v>
      </c>
      <c r="G239" s="18" t="s">
        <v>8</v>
      </c>
      <c r="H239" s="17">
        <v>1</v>
      </c>
      <c r="I239" s="16"/>
      <c r="J239" s="15">
        <f>ROUND(I239*H239,2)</f>
        <v>0</v>
      </c>
      <c r="K239" s="14" t="s">
        <v>7</v>
      </c>
      <c r="L239" s="3"/>
      <c r="M239" s="24" t="s">
        <v>6</v>
      </c>
      <c r="N239" s="23" t="s">
        <v>5</v>
      </c>
      <c r="P239" s="22">
        <f>O239*H239</f>
        <v>0</v>
      </c>
      <c r="Q239" s="22">
        <v>0</v>
      </c>
      <c r="R239" s="22">
        <f>Q239*H239</f>
        <v>0</v>
      </c>
      <c r="S239" s="22">
        <v>0</v>
      </c>
      <c r="T239" s="21">
        <f>S239*H239</f>
        <v>0</v>
      </c>
      <c r="AR239" s="6" t="s">
        <v>1</v>
      </c>
      <c r="AT239" s="6" t="s">
        <v>4</v>
      </c>
      <c r="AU239" s="6" t="s">
        <v>365</v>
      </c>
      <c r="AY239" s="7" t="s">
        <v>3</v>
      </c>
      <c r="BE239" s="8">
        <f>IF(N239="základní",J239,0)</f>
        <v>0</v>
      </c>
      <c r="BF239" s="8">
        <f>IF(N239="snížená",J239,0)</f>
        <v>0</v>
      </c>
      <c r="BG239" s="8">
        <f>IF(N239="zákl. přenesená",J239,0)</f>
        <v>0</v>
      </c>
      <c r="BH239" s="8">
        <f>IF(N239="sníž. přenesená",J239,0)</f>
        <v>0</v>
      </c>
      <c r="BI239" s="8">
        <f>IF(N239="nulová",J239,0)</f>
        <v>0</v>
      </c>
      <c r="BJ239" s="7" t="s">
        <v>2</v>
      </c>
      <c r="BK239" s="8">
        <f>ROUND(I239*H239,2)</f>
        <v>0</v>
      </c>
      <c r="BL239" s="7" t="s">
        <v>1</v>
      </c>
      <c r="BM239" s="6" t="s">
        <v>142</v>
      </c>
    </row>
    <row r="240" spans="2:65" s="25" customFormat="1" ht="22.9" customHeight="1">
      <c r="B240" s="32"/>
      <c r="D240" s="27" t="s">
        <v>26</v>
      </c>
      <c r="E240" s="98" t="s">
        <v>447</v>
      </c>
      <c r="F240" s="98" t="s">
        <v>446</v>
      </c>
      <c r="I240" s="34"/>
      <c r="J240" s="97">
        <f>BK240</f>
        <v>0</v>
      </c>
      <c r="L240" s="32"/>
      <c r="M240" s="31"/>
      <c r="P240" s="30">
        <f>SUM(P241:P242)</f>
        <v>0</v>
      </c>
      <c r="R240" s="30">
        <f>SUM(R241:R242)</f>
        <v>0</v>
      </c>
      <c r="T240" s="29">
        <f>SUM(T241:T242)</f>
        <v>0</v>
      </c>
      <c r="AR240" s="27" t="s">
        <v>2</v>
      </c>
      <c r="AT240" s="28" t="s">
        <v>26</v>
      </c>
      <c r="AU240" s="28" t="s">
        <v>2</v>
      </c>
      <c r="AY240" s="27" t="s">
        <v>3</v>
      </c>
      <c r="BK240" s="26">
        <f>SUM(BK241:BK242)</f>
        <v>0</v>
      </c>
    </row>
    <row r="241" spans="2:65" s="2" customFormat="1" ht="16.5" customHeight="1">
      <c r="B241" s="3"/>
      <c r="C241" s="20" t="s">
        <v>141</v>
      </c>
      <c r="D241" s="20" t="s">
        <v>4</v>
      </c>
      <c r="E241" s="19" t="s">
        <v>445</v>
      </c>
      <c r="F241" s="14" t="s">
        <v>444</v>
      </c>
      <c r="G241" s="18" t="s">
        <v>8</v>
      </c>
      <c r="H241" s="17">
        <v>1</v>
      </c>
      <c r="I241" s="16"/>
      <c r="J241" s="15">
        <f>ROUND(I241*H241,2)</f>
        <v>0</v>
      </c>
      <c r="K241" s="14" t="s">
        <v>7</v>
      </c>
      <c r="L241" s="3"/>
      <c r="M241" s="24" t="s">
        <v>6</v>
      </c>
      <c r="N241" s="23" t="s">
        <v>5</v>
      </c>
      <c r="P241" s="22">
        <f>O241*H241</f>
        <v>0</v>
      </c>
      <c r="Q241" s="22">
        <v>0</v>
      </c>
      <c r="R241" s="22">
        <f>Q241*H241</f>
        <v>0</v>
      </c>
      <c r="S241" s="22">
        <v>0</v>
      </c>
      <c r="T241" s="21">
        <f>S241*H241</f>
        <v>0</v>
      </c>
      <c r="AR241" s="6" t="s">
        <v>1</v>
      </c>
      <c r="AT241" s="6" t="s">
        <v>4</v>
      </c>
      <c r="AU241" s="6" t="s">
        <v>365</v>
      </c>
      <c r="AY241" s="7" t="s">
        <v>3</v>
      </c>
      <c r="BE241" s="8">
        <f>IF(N241="základní",J241,0)</f>
        <v>0</v>
      </c>
      <c r="BF241" s="8">
        <f>IF(N241="snížená",J241,0)</f>
        <v>0</v>
      </c>
      <c r="BG241" s="8">
        <f>IF(N241="zákl. přenesená",J241,0)</f>
        <v>0</v>
      </c>
      <c r="BH241" s="8">
        <f>IF(N241="sníž. přenesená",J241,0)</f>
        <v>0</v>
      </c>
      <c r="BI241" s="8">
        <f>IF(N241="nulová",J241,0)</f>
        <v>0</v>
      </c>
      <c r="BJ241" s="7" t="s">
        <v>2</v>
      </c>
      <c r="BK241" s="8">
        <f>ROUND(I241*H241,2)</f>
        <v>0</v>
      </c>
      <c r="BL241" s="7" t="s">
        <v>1</v>
      </c>
      <c r="BM241" s="6" t="s">
        <v>138</v>
      </c>
    </row>
    <row r="242" spans="2:65" s="2" customFormat="1" ht="39">
      <c r="B242" s="3"/>
      <c r="D242" s="96" t="s">
        <v>442</v>
      </c>
      <c r="F242" s="95" t="s">
        <v>443</v>
      </c>
      <c r="I242" s="94"/>
      <c r="L242" s="3"/>
      <c r="M242" s="93"/>
      <c r="N242" s="11"/>
      <c r="O242" s="11"/>
      <c r="P242" s="11"/>
      <c r="Q242" s="11"/>
      <c r="R242" s="11"/>
      <c r="S242" s="11"/>
      <c r="T242" s="92"/>
      <c r="AT242" s="7" t="s">
        <v>442</v>
      </c>
      <c r="AU242" s="7" t="s">
        <v>365</v>
      </c>
    </row>
    <row r="243" spans="2:65" s="2" customFormat="1" ht="6.95" customHeight="1">
      <c r="B243" s="5"/>
      <c r="C243" s="4"/>
      <c r="D243" s="4"/>
      <c r="E243" s="4"/>
      <c r="F243" s="4"/>
      <c r="G243" s="4"/>
      <c r="H243" s="4"/>
      <c r="I243" s="4"/>
      <c r="J243" s="4"/>
      <c r="K243" s="4"/>
      <c r="L243" s="3"/>
    </row>
  </sheetData>
  <sheetProtection algorithmName="SHA-512" hashValue="dksxQB8fVRqELjM0ZyuND9W+OHd0YwF2wUriFiUbJZ5OikTjo0M6QgWXMYl1BR0jY5xPLvNEiKhqegdJyP2EiQ==" saltValue="Vy+rg9pzH/LDUHjCVT9/Vksr4XP2hCDe2FyROJMPsmbhU5N7doLcVHycQCHE2/MJtBhTPCR82V7Ua+fheGCEPA==" spinCount="100000" sheet="1" objects="1" scenarios="1" formatColumns="0" formatRows="0" autoFilter="0"/>
  <autoFilter ref="C138:K242" xr:uid="{00000000-0009-0000-0000-000001000000}"/>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5FE89-1D10-481B-B5B6-962B5CB1A799}">
  <sheetPr>
    <pageSetUpPr fitToPage="1"/>
  </sheetPr>
  <dimension ref="A1:J11"/>
  <sheetViews>
    <sheetView workbookViewId="0">
      <selection activeCell="G4" sqref="G4"/>
    </sheetView>
  </sheetViews>
  <sheetFormatPr defaultColWidth="11.5703125" defaultRowHeight="12.75"/>
  <cols>
    <col min="1" max="1" width="9.140625" style="126" customWidth="1"/>
    <col min="2" max="2" width="12.85546875" style="126" customWidth="1"/>
    <col min="3" max="3" width="22.85546875" style="126" customWidth="1"/>
    <col min="4" max="4" width="10" style="126" customWidth="1"/>
    <col min="5" max="5" width="14" style="126" customWidth="1"/>
    <col min="6" max="6" width="22.85546875" style="126" customWidth="1"/>
    <col min="7" max="7" width="9.140625" style="126" customWidth="1"/>
    <col min="8" max="8" width="17.140625" style="126" customWidth="1"/>
    <col min="9" max="9" width="22.85546875" style="126" customWidth="1"/>
    <col min="10" max="16384" width="11.5703125" style="126"/>
  </cols>
  <sheetData>
    <row r="1" spans="1:10" ht="15.2" customHeight="1" thickBot="1">
      <c r="A1" s="264" t="s">
        <v>2037</v>
      </c>
      <c r="B1" s="264"/>
      <c r="C1" s="264"/>
      <c r="D1" s="264"/>
      <c r="E1" s="264"/>
      <c r="F1" s="195"/>
      <c r="G1" s="195"/>
      <c r="H1" s="195"/>
      <c r="I1" s="195"/>
    </row>
    <row r="2" spans="1:10">
      <c r="A2" s="265" t="s">
        <v>2036</v>
      </c>
      <c r="B2" s="265"/>
      <c r="C2" s="265"/>
      <c r="D2" s="265"/>
      <c r="E2" s="265"/>
      <c r="F2" s="194" t="s">
        <v>2033</v>
      </c>
      <c r="G2" s="194" t="s">
        <v>2035</v>
      </c>
      <c r="H2" s="194" t="s">
        <v>2034</v>
      </c>
      <c r="I2" s="194" t="s">
        <v>2033</v>
      </c>
      <c r="J2" s="164"/>
    </row>
    <row r="3" spans="1:10">
      <c r="A3" s="268" t="s">
        <v>2032</v>
      </c>
      <c r="B3" s="268"/>
      <c r="C3" s="268"/>
      <c r="D3" s="268"/>
      <c r="E3" s="268"/>
      <c r="F3" s="204">
        <v>0</v>
      </c>
      <c r="G3" s="193"/>
      <c r="H3" s="193"/>
      <c r="I3" s="192">
        <f t="shared" ref="I3:I9" si="0">F3</f>
        <v>0</v>
      </c>
      <c r="J3" s="130"/>
    </row>
    <row r="4" spans="1:10">
      <c r="A4" s="268" t="s">
        <v>2031</v>
      </c>
      <c r="B4" s="268"/>
      <c r="C4" s="268"/>
      <c r="D4" s="268"/>
      <c r="E4" s="268"/>
      <c r="F4" s="204">
        <v>0</v>
      </c>
      <c r="G4" s="193"/>
      <c r="H4" s="193"/>
      <c r="I4" s="192">
        <f t="shared" si="0"/>
        <v>0</v>
      </c>
      <c r="J4" s="130"/>
    </row>
    <row r="5" spans="1:10" ht="12.75" customHeight="1">
      <c r="A5" s="268" t="s">
        <v>2030</v>
      </c>
      <c r="B5" s="268"/>
      <c r="C5" s="268"/>
      <c r="D5" s="268"/>
      <c r="E5" s="268"/>
      <c r="F5" s="204">
        <v>0</v>
      </c>
      <c r="G5" s="193"/>
      <c r="H5" s="193"/>
      <c r="I5" s="192">
        <f t="shared" si="0"/>
        <v>0</v>
      </c>
      <c r="J5" s="130"/>
    </row>
    <row r="6" spans="1:10">
      <c r="A6" s="268" t="s">
        <v>2029</v>
      </c>
      <c r="B6" s="268"/>
      <c r="C6" s="268"/>
      <c r="D6" s="268"/>
      <c r="E6" s="268"/>
      <c r="F6" s="204">
        <v>0</v>
      </c>
      <c r="G6" s="193"/>
      <c r="H6" s="193"/>
      <c r="I6" s="192">
        <f t="shared" si="0"/>
        <v>0</v>
      </c>
      <c r="J6" s="130"/>
    </row>
    <row r="7" spans="1:10">
      <c r="A7" s="268" t="s">
        <v>2028</v>
      </c>
      <c r="B7" s="268"/>
      <c r="C7" s="268"/>
      <c r="D7" s="268"/>
      <c r="E7" s="268"/>
      <c r="F7" s="204">
        <v>0</v>
      </c>
      <c r="G7" s="193"/>
      <c r="H7" s="193"/>
      <c r="I7" s="192">
        <f t="shared" si="0"/>
        <v>0</v>
      </c>
      <c r="J7" s="130"/>
    </row>
    <row r="8" spans="1:10">
      <c r="A8" s="268" t="s">
        <v>2027</v>
      </c>
      <c r="B8" s="268"/>
      <c r="C8" s="268"/>
      <c r="D8" s="268"/>
      <c r="E8" s="268"/>
      <c r="F8" s="204">
        <v>0</v>
      </c>
      <c r="G8" s="193"/>
      <c r="H8" s="193"/>
      <c r="I8" s="192">
        <f t="shared" si="0"/>
        <v>0</v>
      </c>
      <c r="J8" s="130"/>
    </row>
    <row r="9" spans="1:10" ht="13.5" thickBot="1">
      <c r="A9" s="266" t="s">
        <v>2026</v>
      </c>
      <c r="B9" s="266"/>
      <c r="C9" s="266"/>
      <c r="D9" s="266"/>
      <c r="E9" s="266"/>
      <c r="F9" s="205">
        <v>0</v>
      </c>
      <c r="G9" s="191"/>
      <c r="H9" s="191"/>
      <c r="I9" s="190">
        <f t="shared" si="0"/>
        <v>0</v>
      </c>
      <c r="J9" s="130"/>
    </row>
    <row r="10" spans="1:10" ht="13.5" thickBot="1">
      <c r="A10" s="267" t="s">
        <v>2025</v>
      </c>
      <c r="B10" s="267"/>
      <c r="C10" s="267"/>
      <c r="D10" s="267"/>
      <c r="E10" s="267"/>
      <c r="F10" s="189"/>
      <c r="G10" s="188"/>
      <c r="H10" s="188"/>
      <c r="I10" s="187">
        <f>SUM(I3:I9)</f>
        <v>0</v>
      </c>
      <c r="J10" s="164"/>
    </row>
    <row r="11" spans="1:10">
      <c r="A11" s="186"/>
      <c r="B11" s="186"/>
      <c r="C11" s="186"/>
      <c r="D11" s="186"/>
      <c r="E11" s="186"/>
      <c r="F11" s="186"/>
      <c r="G11" s="186"/>
      <c r="H11" s="186"/>
      <c r="I11" s="186"/>
    </row>
  </sheetData>
  <sheetProtection algorithmName="SHA-512" hashValue="Cp7rKhtNO4GM5JJ2kwVj4OsiaaFoy8CNVipCa5lk7OIqaR894ee0DGwjgM6IbU/NBIwEdOaX5PW45rIIH8bGHQ==" saltValue="82IzsJLd4Fxd/AEFdNZcTg==" spinCount="100000" sheet="1"/>
  <mergeCells count="10">
    <mergeCell ref="A1:E1"/>
    <mergeCell ref="A2:E2"/>
    <mergeCell ref="A9:E9"/>
    <mergeCell ref="A10:E10"/>
    <mergeCell ref="A3:E3"/>
    <mergeCell ref="A4:E4"/>
    <mergeCell ref="A5:E5"/>
    <mergeCell ref="A6:E6"/>
    <mergeCell ref="A7:E7"/>
    <mergeCell ref="A8:E8"/>
  </mergeCells>
  <pageMargins left="0.39374999999999999" right="0.39374999999999999" top="0.59097222222222223" bottom="0.59097222222222223" header="0.51180555555555551" footer="0.51180555555555551"/>
  <pageSetup paperSize="9" firstPageNumber="0" fitToHeight="0"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11</vt:i4>
      </vt:variant>
    </vt:vector>
  </HeadingPairs>
  <TitlesOfParts>
    <vt:vector size="20" baseType="lpstr">
      <vt:lpstr>Krycí list rozpočtu</vt:lpstr>
      <vt:lpstr>Rozpočet - objekty</vt:lpstr>
      <vt:lpstr>Stavební rozpočet</vt:lpstr>
      <vt:lpstr>D.1.4.1 - SILNOPROUDÁ ELE...</vt:lpstr>
      <vt:lpstr>D.1.4.2 - Zařízení pro vy...</vt:lpstr>
      <vt:lpstr>Rekapitulace stavby</vt:lpstr>
      <vt:lpstr>D.1.4.3 - Zařízení vzduch...</vt:lpstr>
      <vt:lpstr>D.1.4.4 - MĚŘENÍ A REGULACE</vt:lpstr>
      <vt:lpstr>VORN</vt:lpstr>
      <vt:lpstr>'D.1.4.1 - SILNOPROUDÁ ELE...'!Názvy_tisku</vt:lpstr>
      <vt:lpstr>'D.1.4.2 - Zařízení pro vy...'!Názvy_tisku</vt:lpstr>
      <vt:lpstr>'D.1.4.3 - Zařízení vzduch...'!Názvy_tisku</vt:lpstr>
      <vt:lpstr>'D.1.4.4 - MĚŘENÍ A REGULACE'!Názvy_tisku</vt:lpstr>
      <vt:lpstr>'Rekapitulace stavby'!Názvy_tisku</vt:lpstr>
      <vt:lpstr>'D.1.4.1 - SILNOPROUDÁ ELE...'!Oblast_tisku</vt:lpstr>
      <vt:lpstr>'D.1.4.2 - Zařízení pro vy...'!Oblast_tisku</vt:lpstr>
      <vt:lpstr>'D.1.4.3 - Zařízení vzduch...'!Oblast_tisku</vt:lpstr>
      <vt:lpstr>'D.1.4.4 - MĚŘENÍ A REGULACE'!Oblast_tisku</vt:lpstr>
      <vt:lpstr>'Rekapitulace stavby'!Oblast_tisku</vt:lpstr>
      <vt:lpstr>vorn_sum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Absolon</dc:creator>
  <cp:lastModifiedBy>Petr Absolon</cp:lastModifiedBy>
  <dcterms:created xsi:type="dcterms:W3CDTF">2023-12-18T09:14:36Z</dcterms:created>
  <dcterms:modified xsi:type="dcterms:W3CDTF">2023-12-20T13:23:43Z</dcterms:modified>
</cp:coreProperties>
</file>