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VŘ dle ZZVZ\VŘ Zemědělka Lanškroun\Výběrové řízení ZEM ŠKOLA 2021\VŘ venkoní učebny\"/>
    </mc:Choice>
  </mc:AlternateContent>
  <xr:revisionPtr revIDLastSave="0" documentId="13_ncr:1_{45863532-5842-40E9-83C6-2ECA1ADDD4E0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U56" i="12" l="1"/>
  <c r="Q56" i="12"/>
  <c r="O56" i="12"/>
  <c r="K56" i="12"/>
  <c r="I56" i="12"/>
  <c r="G56" i="12"/>
  <c r="M56" i="12" s="1"/>
  <c r="G54" i="12"/>
  <c r="U54" i="12"/>
  <c r="E17" i="12"/>
  <c r="G17" i="12" s="1"/>
  <c r="E14" i="12"/>
  <c r="G12" i="12"/>
  <c r="E13" i="12"/>
  <c r="G46" i="12"/>
  <c r="E45" i="12"/>
  <c r="M54" i="12" l="1"/>
  <c r="O54" i="12"/>
  <c r="I54" i="12"/>
  <c r="Q54" i="12"/>
  <c r="K54" i="12"/>
  <c r="G16" i="12"/>
  <c r="G15" i="12"/>
  <c r="G14" i="12"/>
  <c r="U9" i="12"/>
  <c r="Q9" i="12"/>
  <c r="O9" i="12"/>
  <c r="K9" i="12"/>
  <c r="I9" i="12"/>
  <c r="G9" i="12"/>
  <c r="M9" i="12" s="1"/>
  <c r="U17" i="12" l="1"/>
  <c r="Q17" i="12"/>
  <c r="O17" i="12"/>
  <c r="K17" i="12"/>
  <c r="I17" i="12"/>
  <c r="M17" i="12"/>
  <c r="E36" i="12" l="1"/>
  <c r="E30" i="12"/>
  <c r="E66" i="12"/>
  <c r="E68" i="12"/>
  <c r="E67" i="12"/>
  <c r="E64" i="12"/>
  <c r="E40" i="12"/>
  <c r="E26" i="12"/>
  <c r="E28" i="12"/>
  <c r="E53" i="12"/>
  <c r="E48" i="12"/>
  <c r="E24" i="12"/>
  <c r="G45" i="12" l="1"/>
  <c r="G47" i="12"/>
  <c r="U44" i="12"/>
  <c r="G44" i="12" l="1"/>
  <c r="O44" i="12"/>
  <c r="I44" i="12"/>
  <c r="Q44" i="12"/>
  <c r="K44" i="12"/>
  <c r="M44" i="12" l="1"/>
  <c r="G41" i="12"/>
  <c r="G30" i="12"/>
  <c r="G48" i="12" l="1"/>
  <c r="G31" i="12"/>
  <c r="G76" i="12" l="1"/>
  <c r="G77" i="12"/>
  <c r="G38" i="12"/>
  <c r="G37" i="12"/>
  <c r="G27" i="12" l="1"/>
  <c r="G25" i="12"/>
  <c r="G23" i="12"/>
  <c r="G21" i="12"/>
  <c r="G20" i="12"/>
  <c r="G35" i="12"/>
  <c r="G39" i="12"/>
  <c r="G60" i="12"/>
  <c r="G59" i="12"/>
  <c r="G58" i="12"/>
  <c r="G52" i="12"/>
  <c r="G63" i="12"/>
  <c r="G66" i="12"/>
  <c r="G65" i="12"/>
  <c r="G80" i="12"/>
  <c r="G75" i="12"/>
  <c r="G71" i="12"/>
  <c r="G72" i="12"/>
  <c r="G73" i="12"/>
  <c r="G74" i="12"/>
  <c r="G61" i="12" l="1"/>
  <c r="G33" i="12"/>
  <c r="G42" i="12"/>
  <c r="G69" i="12"/>
  <c r="G78" i="12"/>
  <c r="I51" i="1" l="1"/>
  <c r="G81" i="12"/>
  <c r="I50" i="1"/>
  <c r="I49" i="1"/>
  <c r="I48" i="1"/>
  <c r="I47" i="1"/>
  <c r="C33" i="12"/>
  <c r="I52" i="1" l="1"/>
  <c r="I19" i="1" s="1"/>
  <c r="F83" i="12"/>
  <c r="I16" i="1"/>
  <c r="I17" i="1"/>
  <c r="I20" i="12"/>
  <c r="K20" i="12"/>
  <c r="M20" i="12"/>
  <c r="O20" i="12"/>
  <c r="Q20" i="12"/>
  <c r="U20" i="12"/>
  <c r="I21" i="12"/>
  <c r="K21" i="12"/>
  <c r="M21" i="12"/>
  <c r="O21" i="12"/>
  <c r="Q21" i="12"/>
  <c r="U21" i="12"/>
  <c r="I23" i="12"/>
  <c r="K23" i="12"/>
  <c r="M23" i="12"/>
  <c r="O23" i="12"/>
  <c r="Q23" i="12"/>
  <c r="U23" i="12"/>
  <c r="I25" i="12"/>
  <c r="K25" i="12"/>
  <c r="M25" i="12"/>
  <c r="O25" i="12"/>
  <c r="Q25" i="12"/>
  <c r="U25" i="12"/>
  <c r="I27" i="12"/>
  <c r="K27" i="12"/>
  <c r="M27" i="12"/>
  <c r="O27" i="12"/>
  <c r="Q27" i="12"/>
  <c r="U27" i="12"/>
  <c r="I35" i="12"/>
  <c r="K35" i="12"/>
  <c r="M35" i="12"/>
  <c r="O35" i="12"/>
  <c r="Q35" i="12"/>
  <c r="U35" i="12"/>
  <c r="I39" i="12"/>
  <c r="K39" i="12"/>
  <c r="M39" i="12"/>
  <c r="O39" i="12"/>
  <c r="Q39" i="12"/>
  <c r="U39" i="12"/>
  <c r="I48" i="12"/>
  <c r="K48" i="12"/>
  <c r="M48" i="12"/>
  <c r="O48" i="12"/>
  <c r="Q48" i="12"/>
  <c r="U48" i="12"/>
  <c r="I52" i="12"/>
  <c r="K52" i="12"/>
  <c r="M52" i="12"/>
  <c r="O52" i="12"/>
  <c r="Q52" i="12"/>
  <c r="U52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3" i="12"/>
  <c r="K63" i="12"/>
  <c r="M63" i="12"/>
  <c r="O63" i="12"/>
  <c r="Q63" i="12"/>
  <c r="U63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I73" i="12"/>
  <c r="K73" i="12"/>
  <c r="M73" i="12"/>
  <c r="O73" i="12"/>
  <c r="Q73" i="12"/>
  <c r="U73" i="12"/>
  <c r="I75" i="12"/>
  <c r="K75" i="12"/>
  <c r="M75" i="12"/>
  <c r="O75" i="12"/>
  <c r="Q75" i="12"/>
  <c r="U75" i="12"/>
  <c r="I80" i="12"/>
  <c r="I79" i="12" s="1"/>
  <c r="K80" i="12"/>
  <c r="K79" i="12" s="1"/>
  <c r="M80" i="12"/>
  <c r="M79" i="12" s="1"/>
  <c r="O80" i="12"/>
  <c r="O79" i="12" s="1"/>
  <c r="Q80" i="12"/>
  <c r="Q79" i="12" s="1"/>
  <c r="U80" i="12"/>
  <c r="U79" i="12" s="1"/>
  <c r="F40" i="1"/>
  <c r="G40" i="1"/>
  <c r="H40" i="1"/>
  <c r="I40" i="1"/>
  <c r="J39" i="1" s="1"/>
  <c r="J40" i="1"/>
  <c r="J28" i="1"/>
  <c r="J26" i="1"/>
  <c r="G38" i="1"/>
  <c r="F38" i="1"/>
  <c r="J23" i="1"/>
  <c r="J24" i="1"/>
  <c r="J25" i="1"/>
  <c r="J27" i="1"/>
  <c r="E24" i="1"/>
  <c r="G24" i="1" s="1"/>
  <c r="E26" i="1"/>
  <c r="I53" i="1" l="1"/>
  <c r="Q34" i="12"/>
  <c r="I34" i="12"/>
  <c r="M34" i="12"/>
  <c r="I21" i="1"/>
  <c r="G25" i="1" s="1"/>
  <c r="I8" i="12"/>
  <c r="O70" i="12"/>
  <c r="U70" i="12"/>
  <c r="K70" i="12"/>
  <c r="U43" i="12"/>
  <c r="K43" i="12"/>
  <c r="O43" i="12"/>
  <c r="M70" i="12"/>
  <c r="Q70" i="12"/>
  <c r="I70" i="12"/>
  <c r="Q43" i="12"/>
  <c r="I43" i="12"/>
  <c r="M43" i="12"/>
  <c r="Q8" i="12"/>
  <c r="Q62" i="12"/>
  <c r="I62" i="12"/>
  <c r="M62" i="12"/>
  <c r="O62" i="12"/>
  <c r="U62" i="12"/>
  <c r="K62" i="12"/>
  <c r="O34" i="12"/>
  <c r="U34" i="12"/>
  <c r="K34" i="12"/>
  <c r="M8" i="12"/>
  <c r="O8" i="12"/>
  <c r="U8" i="12"/>
  <c r="K8" i="12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<sst xmlns="http://schemas.openxmlformats.org/spreadsheetml/2006/main" count="347" uniqueCount="197">
  <si>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</si>
  <si>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</si>
  <si>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</si>
  <si>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</si>
  <si>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</si>
  <si>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</si>
  <si>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</si>
  <si>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</si>
  <si>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</si>
  <si>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</si>
  <si>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</si>
  <si>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</si>
  <si>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</si>
  <si>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</si>
  <si>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</si>
  <si>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</si>
  <si>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</si>
  <si>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</si>
  <si>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</si>
  <si>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</si>
  <si>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</si>
  <si>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</si>
  <si>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</si>
  <si>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</si>
  <si>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</si>
  <si>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</si>
  <si>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</si>
  <si>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</si>
  <si>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</si>
  <si>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</si>
  <si>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</si>
  <si>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</si>
  <si>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</si>
  <si>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</si>
  <si>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</si>
  <si>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</si>
  <si>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</si>
  <si>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</si>
  <si>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</si>
  <si>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</si>
  <si>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</si>
  <si>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</si>
  <si>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</si>
  <si>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Dolní Třešňovec</t>
  </si>
  <si>
    <t>Rozpočet:</t>
  </si>
  <si>
    <t>Misto</t>
  </si>
  <si>
    <t>Stavební úpravy jízdárny a zázemí</t>
  </si>
  <si>
    <t>SZeŠ Lanškroun</t>
  </si>
  <si>
    <t>Dolní Třešňovec 17</t>
  </si>
  <si>
    <t>Lanškroun</t>
  </si>
  <si>
    <t>563 01</t>
  </si>
  <si>
    <t>Bromach spol. s r.o.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</si>
  <si>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</si>
  <si>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</si>
  <si>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</si>
  <si>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</si>
  <si>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</si>
  <si>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</si>
  <si>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</si>
  <si>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</si>
  <si>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</si>
  <si>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</si>
  <si>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</si>
  <si>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767</t>
  </si>
  <si>
    <t>Konstrukce zámečnické</t>
  </si>
  <si>
    <t>790</t>
  </si>
  <si>
    <t>Buňky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</si>
  <si>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</si>
  <si>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</si>
  <si>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</si>
  <si>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</si>
  <si>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</si>
  <si>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</si>
  <si>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</si>
  <si>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</si>
  <si>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</si>
  <si>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</si>
  <si>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</si>
  <si>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</si>
  <si>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</si>
  <si>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</si>
  <si>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</si>
  <si>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</si>
  <si>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</si>
  <si>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</si>
  <si>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</si>
  <si>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</si>
  <si>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</si>
  <si>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</si>
  <si>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</si>
  <si>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</si>
  <si>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</si>
  <si>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</si>
  <si>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</si>
  <si>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</si>
  <si>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</si>
  <si>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m3</t>
  </si>
  <si>
    <t>POL1_0</t>
  </si>
  <si>
    <t>VV</t>
  </si>
  <si>
    <t>181300010ADA</t>
  </si>
  <si>
    <t>Rozprostření finální vrstvy - směs ve specifikaci, vč. smíchání</t>
  </si>
  <si>
    <t>m2</t>
  </si>
  <si>
    <t>kg</t>
  </si>
  <si>
    <t>t</t>
  </si>
  <si>
    <t>133101101R00</t>
  </si>
  <si>
    <t>Hloubení šachet v hor.2 do 100 m3</t>
  </si>
  <si>
    <t>212755114RX1</t>
  </si>
  <si>
    <t>Trativody z drenážních trubek DN 10 cm bez lože, PVC</t>
  </si>
  <si>
    <t>m</t>
  </si>
  <si>
    <t>564861111RV1</t>
  </si>
  <si>
    <t>Podklad ze štěrkodrti po zhutnění tloušťky 20 cm, bez dodávky kameniva</t>
  </si>
  <si>
    <t>583418035R</t>
  </si>
  <si>
    <t>POL3_0</t>
  </si>
  <si>
    <t>584121111RT2</t>
  </si>
  <si>
    <t>Osazení silničních panelů,lože z kameniva tl. 4 cm, včetně panelu IZD 2/490 300x100x15</t>
  </si>
  <si>
    <t>568111112ADA</t>
  </si>
  <si>
    <t>Zřízení vrstvy z geotextilie skl.do 1:5,š.do 7,5 m</t>
  </si>
  <si>
    <t>67390503R</t>
  </si>
  <si>
    <t>Ocelový sloupek pro kulatinu tr. 82,5/3,6, výroba, montáž, žárově pozinkováno</t>
  </si>
  <si>
    <t>Dřevěná kulatina, dodávka, montáž</t>
  </si>
  <si>
    <t>kus</t>
  </si>
  <si>
    <t>Manipulační práce - osazení nových buněk, odvoz staré do 500 m</t>
  </si>
  <si>
    <t>soubor</t>
  </si>
  <si>
    <t>Zařízení staveniště, provoz dodavatele</t>
  </si>
  <si>
    <t/>
  </si>
  <si>
    <t>Celkem za</t>
  </si>
  <si>
    <t>Základy</t>
  </si>
  <si>
    <t>celkem bez DPH</t>
  </si>
  <si>
    <t>Jímka samonosná plastová bezodtoková-žumpa 9m3 - D+M vč. zemních prací</t>
  </si>
  <si>
    <t>Kanalizace z trub PVC hrdlových D 200 mm</t>
  </si>
  <si>
    <t>Přípojka elektro kabelová, v zemi, ve volném terénu - odhadní vzdálenost</t>
  </si>
  <si>
    <t>Vodovodní přípojka z trub polyetylénových PEHD SDR11 D 40; odhadní vzdálenost</t>
  </si>
  <si>
    <t>ochranné pásmo ČEZ: 64,9*11</t>
  </si>
  <si>
    <t>Založení trávníku, v rovině, s dodáním osiva</t>
  </si>
  <si>
    <t>Panely: 60</t>
  </si>
  <si>
    <t xml:space="preserve">Obrubník - ocelová pásovice - žárově pozinkováno </t>
  </si>
  <si>
    <t>Rozprostření zeminy a ochozu strojně, v rovině - vč. dovozu zeminy ze vzdálenosti 5 km</t>
  </si>
  <si>
    <t>Zemina pro pozemkové úpravy</t>
  </si>
  <si>
    <t>Manipulační práce - betonáž</t>
  </si>
  <si>
    <t>kpl</t>
  </si>
  <si>
    <t>Kanalizace venkovní z trub KG 160, odhadní vzdálenost</t>
  </si>
  <si>
    <t>spec.</t>
  </si>
  <si>
    <t>R</t>
  </si>
  <si>
    <t xml:space="preserve">831350113RAB </t>
  </si>
  <si>
    <t xml:space="preserve">831230110RAB </t>
  </si>
  <si>
    <t>831350013RAB</t>
  </si>
  <si>
    <t>181300010RAC</t>
  </si>
  <si>
    <t xml:space="preserve">180400020RA0 </t>
  </si>
  <si>
    <t>69366193R</t>
  </si>
  <si>
    <t>58156110R</t>
  </si>
  <si>
    <t xml:space="preserve">10364200R </t>
  </si>
  <si>
    <t>762731110ADA</t>
  </si>
  <si>
    <t>275310030RX</t>
  </si>
  <si>
    <t>Základová patka, beton prostý C 16/20</t>
  </si>
  <si>
    <t>894431221RA0</t>
  </si>
  <si>
    <t>Šachta drenážního systému, plastová WAVIN, dl.šach.roury 2,0 m, přímá - D+M</t>
  </si>
  <si>
    <t>Parkur: 5000</t>
  </si>
  <si>
    <t>5773,9*0,2*1,6</t>
  </si>
  <si>
    <t>2*5000</t>
  </si>
  <si>
    <t>242,5*1,5</t>
  </si>
  <si>
    <t>100*3,14*0,2*0,2*0,6</t>
  </si>
  <si>
    <t>100 ks á 1,9 m:100*1,9*7,64</t>
  </si>
  <si>
    <t>pásovina 60/4 mm,  2*242,5 bm: 2*242,5*1,88</t>
  </si>
  <si>
    <t>trny á 1,0 m pr. 12 mm bet ocel: 2*243*0,6*0,888</t>
  </si>
  <si>
    <t>72,5+11+73,5+5*68+58,5+3</t>
  </si>
  <si>
    <t>Dodávka sanitárního kontejneru dle PD, nový vč. dopravy, 6058 x 2438 x 2590 mm, dodávka vč. zařizovacích předmětů</t>
  </si>
  <si>
    <t xml:space="preserve">Dodávka kontejneru pro rozhodčí dle PD, nový vč. dopravy, 6055 x 3000 x 2590 mm, </t>
  </si>
  <si>
    <t xml:space="preserve">171201201R00 </t>
  </si>
  <si>
    <t xml:space="preserve">162701101R00 </t>
  </si>
  <si>
    <t>Vodorovné přemístění výkopku z hor.1-4 do 6000 m</t>
  </si>
  <si>
    <t>Poplatek za skládku - zemina a kamenivo</t>
  </si>
  <si>
    <t>Uložení na skládku</t>
  </si>
  <si>
    <t>121100001ADA</t>
  </si>
  <si>
    <t>Sejmutí zeminy s přemístěním přes 100 do 250 m, přes 100 do 250 m</t>
  </si>
  <si>
    <t>Panely: 60*0,2</t>
  </si>
  <si>
    <t>Parkur: (112,4+713,9)*0,2</t>
  </si>
  <si>
    <t xml:space="preserve">199000005R00 </t>
  </si>
  <si>
    <t>Poplatek za skládku zeminy 1- 4</t>
  </si>
  <si>
    <t>Vodorovné přemístění na skládku do 6000 m</t>
  </si>
  <si>
    <t>979093111R00</t>
  </si>
  <si>
    <t>979083117ADA</t>
  </si>
  <si>
    <t>Parkur: 5000*0,25</t>
  </si>
  <si>
    <t>113107620R00</t>
  </si>
  <si>
    <t>Odstranění podkladu z kam. drceného tl.20 cm</t>
  </si>
  <si>
    <t>122201102.R00</t>
  </si>
  <si>
    <t>Odkopávky nezapažené v hor. 3 do 1000 m3</t>
  </si>
  <si>
    <t>215901101ADA</t>
  </si>
  <si>
    <t>Zhutnění podloží</t>
  </si>
  <si>
    <t>Premix geotextilie pro jízdárny a vlákna, vč. dopravy na stavbu</t>
  </si>
  <si>
    <t>564831111RV1</t>
  </si>
  <si>
    <t>Podklad ze štěrkodrti po zhutnění tloušťky 10 cm, bez dodávky kameniva</t>
  </si>
  <si>
    <t>5000*0,1*1,6</t>
  </si>
  <si>
    <t xml:space="preserve">Kamenivo drcené frakce  16/32, vč. dopravy </t>
  </si>
  <si>
    <t xml:space="preserve">Kamenivo drcené frakce  8/16, vč. dopravy </t>
  </si>
  <si>
    <t>mm</t>
  </si>
  <si>
    <t>křemičitý písek určený pro jezdecké sporty, frakce 0,1 - 1,  včetně dopravy</t>
  </si>
  <si>
    <t>Geotextilie netkaná drenážní  300 g/m2  2x50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</si>
</sst>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10"/>
      <name val="Arial CE"/>
    </font>
    <font>
      <b/>
      <i/>
      <sz val="10"/>
      <name val="Arial CE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4" fontId="18" fillId="0" borderId="0" applyFont="0" applyFill="0" applyBorder="0" applyAlignment="0" applyProtection="0"/>
    <xf numFmtId="0" fontId="19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3" borderId="36" xfId="0" applyFill="1" applyBorder="1" applyAlignment="1">
      <alignment vertical="top"/>
    </xf>
    <xf numFmtId="49" fontId="8" fillId="3" borderId="36" xfId="0" applyNumberFormat="1" applyFont="1" applyFill="1" applyBorder="1" applyAlignment="1">
      <alignment vertical="top"/>
    </xf>
    <xf numFmtId="49" fontId="8" fillId="3" borderId="51" xfId="0" applyNumberFormat="1" applyFon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51" xfId="0" applyNumberFormat="1" applyFill="1" applyBorder="1" applyAlignment="1">
      <alignment vertical="top"/>
    </xf>
    <xf numFmtId="4" fontId="0" fillId="3" borderId="51" xfId="0" applyNumberFormat="1" applyFill="1" applyBorder="1" applyAlignment="1">
      <alignment vertical="top"/>
    </xf>
    <xf numFmtId="0" fontId="0" fillId="5" borderId="35" xfId="0" applyFill="1" applyBorder="1"/>
    <xf numFmtId="49" fontId="0" fillId="5" borderId="35" xfId="0" applyNumberFormat="1" applyFill="1" applyBorder="1"/>
    <xf numFmtId="0" fontId="0" fillId="5" borderId="36" xfId="0" applyFill="1" applyBorder="1"/>
    <xf numFmtId="0" fontId="0" fillId="5" borderId="50" xfId="0" applyFill="1" applyBorder="1"/>
    <xf numFmtId="0" fontId="16" fillId="0" borderId="10" xfId="0" applyFont="1" applyBorder="1" applyAlignment="1">
      <alignment vertical="center"/>
    </xf>
    <xf numFmtId="49" fontId="20" fillId="0" borderId="38" xfId="3" applyNumberFormat="1" applyFont="1" applyFill="1" applyBorder="1" applyAlignment="1">
      <alignment horizontal="left"/>
    </xf>
    <xf numFmtId="0" fontId="16" fillId="0" borderId="37" xfId="0" applyFont="1" applyBorder="1" applyAlignment="1">
      <alignment vertical="center" shrinkToFit="1"/>
    </xf>
    <xf numFmtId="4" fontId="16" fillId="0" borderId="38" xfId="0" applyNumberFormat="1" applyFont="1" applyBorder="1" applyAlignment="1">
      <alignment vertical="center" shrinkToFit="1"/>
    </xf>
    <xf numFmtId="4" fontId="5" fillId="0" borderId="38" xfId="3" applyNumberFormat="1" applyFont="1" applyFill="1" applyBorder="1"/>
    <xf numFmtId="49" fontId="20" fillId="0" borderId="38" xfId="3" applyNumberFormat="1" applyFont="1" applyFill="1" applyBorder="1"/>
    <xf numFmtId="0" fontId="8" fillId="5" borderId="52" xfId="0" applyFont="1" applyFill="1" applyBorder="1" applyAlignment="1">
      <alignment vertical="top"/>
    </xf>
    <xf numFmtId="49" fontId="8" fillId="5" borderId="42" xfId="0" applyNumberFormat="1" applyFont="1" applyFill="1" applyBorder="1" applyAlignment="1">
      <alignment vertical="top"/>
    </xf>
    <xf numFmtId="49" fontId="8" fillId="5" borderId="42" xfId="0" applyNumberFormat="1" applyFont="1" applyFill="1" applyBorder="1" applyAlignment="1">
      <alignment horizontal="left" vertical="top" wrapText="1"/>
    </xf>
    <xf numFmtId="0" fontId="8" fillId="5" borderId="42" xfId="0" applyFont="1" applyFill="1" applyBorder="1" applyAlignment="1">
      <alignment vertical="center"/>
    </xf>
    <xf numFmtId="0" fontId="16" fillId="0" borderId="26" xfId="0" applyNumberFormat="1" applyFont="1" applyBorder="1" applyAlignment="1">
      <alignment horizontal="left" vertical="top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0" xfId="0" applyNumberFormat="1" applyFont="1" applyFill="1" applyBorder="1" applyAlignment="1">
      <alignment horizontal="left" vertical="center"/>
    </xf>
    <xf numFmtId="14" fontId="8" fillId="4" borderId="6" xfId="0" applyNumberFormat="1" applyFont="1" applyFill="1" applyBorder="1" applyAlignment="1">
      <alignment horizontal="center" vertical="top"/>
    </xf>
    <xf numFmtId="4" fontId="16" fillId="4" borderId="33" xfId="0" applyNumberFormat="1" applyFont="1" applyFill="1" applyBorder="1" applyAlignment="1">
      <alignment vertical="top" shrinkToFit="1"/>
    </xf>
    <xf numFmtId="4" fontId="0" fillId="3" borderId="33" xfId="0" applyNumberFormat="1" applyFill="1" applyBorder="1" applyAlignment="1">
      <alignment vertical="top" shrinkToFit="1"/>
    </xf>
    <xf numFmtId="0" fontId="0" fillId="3" borderId="33" xfId="0" applyFill="1" applyBorder="1" applyAlignment="1">
      <alignment vertical="top" shrinkToFit="1"/>
    </xf>
    <xf numFmtId="0" fontId="0" fillId="3" borderId="26" xfId="0" applyFill="1" applyBorder="1" applyAlignment="1">
      <alignment vertical="top" shrinkToFit="1"/>
    </xf>
    <xf numFmtId="0" fontId="16" fillId="0" borderId="56" xfId="0" applyFont="1" applyBorder="1" applyAlignment="1">
      <alignment vertical="top"/>
    </xf>
    <xf numFmtId="0" fontId="16" fillId="0" borderId="56" xfId="0" applyNumberFormat="1" applyFont="1" applyBorder="1" applyAlignment="1">
      <alignment vertical="top"/>
    </xf>
    <xf numFmtId="0" fontId="16" fillId="0" borderId="55" xfId="0" applyNumberFormat="1" applyFont="1" applyBorder="1" applyAlignment="1">
      <alignment horizontal="left" vertical="top" wrapText="1"/>
    </xf>
    <xf numFmtId="0" fontId="16" fillId="0" borderId="57" xfId="0" applyFont="1" applyBorder="1" applyAlignment="1">
      <alignment vertical="top" shrinkToFit="1"/>
    </xf>
    <xf numFmtId="164" fontId="16" fillId="0" borderId="55" xfId="0" applyNumberFormat="1" applyFont="1" applyBorder="1" applyAlignment="1">
      <alignment vertical="top" shrinkToFit="1"/>
    </xf>
    <xf numFmtId="4" fontId="16" fillId="4" borderId="55" xfId="0" applyNumberFormat="1" applyFont="1" applyFill="1" applyBorder="1" applyAlignment="1">
      <alignment vertical="top" shrinkToFit="1"/>
    </xf>
    <xf numFmtId="4" fontId="16" fillId="0" borderId="55" xfId="0" applyNumberFormat="1" applyFont="1" applyBorder="1" applyAlignment="1">
      <alignment vertical="top" shrinkToFit="1"/>
    </xf>
    <xf numFmtId="0" fontId="21" fillId="0" borderId="0" xfId="0" applyFont="1"/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4" fontId="8" fillId="5" borderId="42" xfId="2" applyFont="1" applyFill="1" applyBorder="1" applyAlignment="1">
      <alignment horizontal="center" vertical="center"/>
    </xf>
    <xf numFmtId="44" fontId="8" fillId="5" borderId="53" xfId="2" applyFont="1" applyFill="1" applyBorder="1" applyAlignment="1">
      <alignment horizontal="center" vertical="center"/>
    </xf>
  </cellXfs>
  <cellStyles count="4">
    <cellStyle name="Měna" xfId="2" builtinId="4"/>
    <cellStyle name="Normální" xfId="0" builtinId="0"/>
    <cellStyle name="normální 2" xfId="1" xr:uid="{00000000-0005-0000-0000-000002000000}"/>
    <cellStyle name="normální_POL.XLS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9" t="s">
        <v>39</v>
      </c>
      <c r="B2" s="209"/>
      <c r="C2" s="209"/>
      <c r="D2" s="209"/>
      <c r="E2" s="209"/>
      <c r="F2" s="209"/>
      <c r="G2" s="20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36</v>
      </c>
      <c r="B1" s="241" t="s">
        <v>42</v>
      </c>
      <c r="C1" s="242"/>
      <c r="D1" s="242"/>
      <c r="E1" s="242"/>
      <c r="F1" s="242"/>
      <c r="G1" s="242"/>
      <c r="H1" s="242"/>
      <c r="I1" s="242"/>
      <c r="J1" s="243"/>
    </row>
    <row r="2" spans="1:15" ht="23.25" customHeight="1" x14ac:dyDescent="0.2">
      <c r="A2" s="4"/>
      <c r="B2" s="80" t="s">
        <v>40</v>
      </c>
      <c r="C2" s="81"/>
      <c r="D2" s="226" t="s">
        <v>46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2" t="s">
        <v>45</v>
      </c>
      <c r="C3" s="83"/>
      <c r="D3" s="254" t="s">
        <v>43</v>
      </c>
      <c r="E3" s="255"/>
      <c r="F3" s="255"/>
      <c r="G3" s="255"/>
      <c r="H3" s="255"/>
      <c r="I3" s="255"/>
      <c r="J3" s="256"/>
    </row>
    <row r="4" spans="1:15" ht="23.25" hidden="1" customHeight="1" x14ac:dyDescent="0.2">
      <c r="A4" s="4"/>
      <c r="B4" s="84" t="s">
        <v>44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6" t="s">
        <v>21</v>
      </c>
      <c r="C5" s="5"/>
      <c r="D5" s="90" t="s">
        <v>47</v>
      </c>
      <c r="E5" s="26"/>
      <c r="F5" s="26"/>
      <c r="G5" s="26"/>
      <c r="H5" s="28" t="s">
        <v>33</v>
      </c>
      <c r="I5" s="90"/>
      <c r="J5" s="11"/>
    </row>
    <row r="6" spans="1:15" ht="15.75" customHeight="1" x14ac:dyDescent="0.2">
      <c r="A6" s="4"/>
      <c r="B6" s="40"/>
      <c r="C6" s="26"/>
      <c r="D6" s="90" t="s">
        <v>48</v>
      </c>
      <c r="E6" s="26"/>
      <c r="F6" s="26"/>
      <c r="G6" s="26"/>
      <c r="H6" s="28" t="s">
        <v>34</v>
      </c>
      <c r="I6" s="90"/>
      <c r="J6" s="11"/>
    </row>
    <row r="7" spans="1:15" ht="15.75" customHeight="1" x14ac:dyDescent="0.2">
      <c r="A7" s="4"/>
      <c r="B7" s="41"/>
      <c r="C7" s="91" t="s">
        <v>50</v>
      </c>
      <c r="D7" s="79" t="s">
        <v>49</v>
      </c>
      <c r="E7" s="34"/>
      <c r="F7" s="34"/>
      <c r="G7" s="34"/>
      <c r="H7" s="36"/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34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233"/>
      <c r="E11" s="233"/>
      <c r="F11" s="233"/>
      <c r="G11" s="233"/>
      <c r="H11" s="28" t="s">
        <v>33</v>
      </c>
      <c r="I11" s="195"/>
      <c r="J11" s="11"/>
    </row>
    <row r="12" spans="1:15" ht="15.75" customHeight="1" x14ac:dyDescent="0.2">
      <c r="A12" s="4"/>
      <c r="B12" s="40"/>
      <c r="C12" s="26"/>
      <c r="D12" s="252"/>
      <c r="E12" s="252"/>
      <c r="F12" s="252"/>
      <c r="G12" s="252"/>
      <c r="H12" s="28" t="s">
        <v>34</v>
      </c>
      <c r="I12" s="195"/>
      <c r="J12" s="11"/>
    </row>
    <row r="13" spans="1:15" ht="15.75" customHeight="1" x14ac:dyDescent="0.2">
      <c r="A13" s="4"/>
      <c r="B13" s="41"/>
      <c r="C13" s="194"/>
      <c r="D13" s="253"/>
      <c r="E13" s="253"/>
      <c r="F13" s="253"/>
      <c r="G13" s="253"/>
      <c r="H13" s="29"/>
      <c r="I13" s="34"/>
      <c r="J13" s="50"/>
    </row>
    <row r="14" spans="1:15" ht="24" customHeight="1" x14ac:dyDescent="0.2">
      <c r="A14" s="4"/>
      <c r="B14" s="65" t="s">
        <v>20</v>
      </c>
      <c r="C14" s="66"/>
      <c r="D14" s="67" t="s">
        <v>51</v>
      </c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31</v>
      </c>
      <c r="C15" s="71"/>
      <c r="D15" s="52"/>
      <c r="E15" s="232"/>
      <c r="F15" s="232"/>
      <c r="G15" s="250"/>
      <c r="H15" s="250"/>
      <c r="I15" s="250" t="s">
        <v>28</v>
      </c>
      <c r="J15" s="251"/>
    </row>
    <row r="16" spans="1:15" ht="23.25" customHeight="1" x14ac:dyDescent="0.2">
      <c r="A16" s="138" t="s">
        <v>23</v>
      </c>
      <c r="B16" s="139" t="s">
        <v>23</v>
      </c>
      <c r="C16" s="57"/>
      <c r="D16" s="58"/>
      <c r="E16" s="229"/>
      <c r="F16" s="230"/>
      <c r="G16" s="229"/>
      <c r="H16" s="230"/>
      <c r="I16" s="229">
        <f>I47+I48+I49</f>
        <v>0</v>
      </c>
      <c r="J16" s="231"/>
    </row>
    <row r="17" spans="1:10" ht="23.25" customHeight="1" x14ac:dyDescent="0.2">
      <c r="A17" s="138" t="s">
        <v>24</v>
      </c>
      <c r="B17" s="139" t="s">
        <v>24</v>
      </c>
      <c r="C17" s="57"/>
      <c r="D17" s="58"/>
      <c r="E17" s="229"/>
      <c r="F17" s="230"/>
      <c r="G17" s="229"/>
      <c r="H17" s="230"/>
      <c r="I17" s="229">
        <f>I50+I51</f>
        <v>0</v>
      </c>
      <c r="J17" s="231"/>
    </row>
    <row r="18" spans="1:10" ht="23.25" customHeight="1" x14ac:dyDescent="0.2">
      <c r="A18" s="138" t="s">
        <v>25</v>
      </c>
      <c r="B18" s="139" t="s">
        <v>25</v>
      </c>
      <c r="C18" s="57"/>
      <c r="D18" s="58"/>
      <c r="E18" s="229"/>
      <c r="F18" s="230"/>
      <c r="G18" s="229"/>
      <c r="H18" s="230"/>
      <c r="I18" s="229">
        <v>0</v>
      </c>
      <c r="J18" s="231"/>
    </row>
    <row r="19" spans="1:10" ht="23.25" customHeight="1" x14ac:dyDescent="0.2">
      <c r="A19" s="138" t="s">
        <v>67</v>
      </c>
      <c r="B19" s="139" t="s">
        <v>26</v>
      </c>
      <c r="C19" s="57"/>
      <c r="D19" s="58"/>
      <c r="E19" s="229"/>
      <c r="F19" s="230"/>
      <c r="G19" s="229"/>
      <c r="H19" s="230"/>
      <c r="I19" s="229">
        <f>I52</f>
        <v>0</v>
      </c>
      <c r="J19" s="231"/>
    </row>
    <row r="20" spans="1:10" ht="23.25" customHeight="1" x14ac:dyDescent="0.2">
      <c r="A20" s="138" t="s">
        <v>68</v>
      </c>
      <c r="B20" s="139" t="s">
        <v>27</v>
      </c>
      <c r="C20" s="57"/>
      <c r="D20" s="58"/>
      <c r="E20" s="229"/>
      <c r="F20" s="230"/>
      <c r="G20" s="229"/>
      <c r="H20" s="230"/>
      <c r="I20" s="229">
        <v>0</v>
      </c>
      <c r="J20" s="231"/>
    </row>
    <row r="21" spans="1:10" ht="23.25" customHeight="1" x14ac:dyDescent="0.2">
      <c r="A21" s="4"/>
      <c r="B21" s="73" t="s">
        <v>28</v>
      </c>
      <c r="C21" s="74"/>
      <c r="D21" s="75"/>
      <c r="E21" s="239"/>
      <c r="F21" s="248"/>
      <c r="G21" s="239"/>
      <c r="H21" s="248"/>
      <c r="I21" s="239">
        <f>SUM(I16:J20)</f>
        <v>0</v>
      </c>
      <c r="J21" s="240"/>
    </row>
    <row r="22" spans="1:10" ht="33" customHeight="1" x14ac:dyDescent="0.2">
      <c r="A22" s="4"/>
      <c r="B22" s="64" t="s">
        <v>32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237">
        <v>0</v>
      </c>
      <c r="H23" s="238"/>
      <c r="I23" s="238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35">
        <f>ZakladDPHSni*E24%</f>
        <v>0</v>
      </c>
      <c r="H24" s="236"/>
      <c r="I24" s="236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237">
        <f>I21</f>
        <v>0</v>
      </c>
      <c r="H25" s="238"/>
      <c r="I25" s="238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44">
        <f>ZakladDPHZakl*E26%</f>
        <v>0</v>
      </c>
      <c r="H26" s="245"/>
      <c r="I26" s="245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246">
        <v>0</v>
      </c>
      <c r="H27" s="246"/>
      <c r="I27" s="246"/>
      <c r="J27" s="62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47">
        <v>2228308.9300000002</v>
      </c>
      <c r="H28" s="249"/>
      <c r="I28" s="249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47">
        <f>SUM(G23:I27)</f>
        <v>0</v>
      </c>
      <c r="H29" s="247"/>
      <c r="I29" s="247"/>
      <c r="J29" s="117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196">
        <v>44139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0</v>
      </c>
      <c r="B39" s="101" t="s">
        <v>52</v>
      </c>
      <c r="C39" s="217" t="s">
        <v>46</v>
      </c>
      <c r="D39" s="218"/>
      <c r="E39" s="218"/>
      <c r="F39" s="106">
        <v>2228308.9300000002</v>
      </c>
      <c r="G39" s="107">
        <v>0</v>
      </c>
      <c r="H39" s="108">
        <v>334246</v>
      </c>
      <c r="I39" s="108">
        <v>2562554.9300000002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9" t="s">
        <v>53</v>
      </c>
      <c r="C40" s="220"/>
      <c r="D40" s="220"/>
      <c r="E40" s="221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55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56</v>
      </c>
      <c r="G46" s="127"/>
      <c r="H46" s="127"/>
      <c r="I46" s="222" t="s">
        <v>28</v>
      </c>
      <c r="J46" s="222"/>
    </row>
    <row r="47" spans="1:10" ht="25.5" customHeight="1" x14ac:dyDescent="0.2">
      <c r="A47" s="120"/>
      <c r="B47" s="128" t="s">
        <v>57</v>
      </c>
      <c r="C47" s="224" t="s">
        <v>58</v>
      </c>
      <c r="D47" s="225"/>
      <c r="E47" s="225"/>
      <c r="F47" s="130" t="s">
        <v>23</v>
      </c>
      <c r="G47" s="131"/>
      <c r="H47" s="131"/>
      <c r="I47" s="223">
        <f>'Rozpočet Pol'!G33</f>
        <v>0</v>
      </c>
      <c r="J47" s="223"/>
    </row>
    <row r="48" spans="1:10" ht="25.5" customHeight="1" x14ac:dyDescent="0.2">
      <c r="A48" s="120"/>
      <c r="B48" s="122" t="s">
        <v>59</v>
      </c>
      <c r="C48" s="215" t="s">
        <v>60</v>
      </c>
      <c r="D48" s="216"/>
      <c r="E48" s="216"/>
      <c r="F48" s="132" t="s">
        <v>23</v>
      </c>
      <c r="G48" s="133"/>
      <c r="H48" s="133"/>
      <c r="I48" s="214">
        <f>'Rozpočet Pol'!G42</f>
        <v>0</v>
      </c>
      <c r="J48" s="214"/>
    </row>
    <row r="49" spans="1:10" ht="25.5" customHeight="1" x14ac:dyDescent="0.2">
      <c r="A49" s="120"/>
      <c r="B49" s="122" t="s">
        <v>61</v>
      </c>
      <c r="C49" s="215" t="s">
        <v>62</v>
      </c>
      <c r="D49" s="216"/>
      <c r="E49" s="216"/>
      <c r="F49" s="132" t="s">
        <v>23</v>
      </c>
      <c r="G49" s="133"/>
      <c r="H49" s="133"/>
      <c r="I49" s="214">
        <f>'Rozpočet Pol'!G61</f>
        <v>0</v>
      </c>
      <c r="J49" s="214"/>
    </row>
    <row r="50" spans="1:10" ht="25.5" customHeight="1" x14ac:dyDescent="0.2">
      <c r="A50" s="120"/>
      <c r="B50" s="122" t="s">
        <v>63</v>
      </c>
      <c r="C50" s="215" t="s">
        <v>64</v>
      </c>
      <c r="D50" s="216"/>
      <c r="E50" s="216"/>
      <c r="F50" s="132" t="s">
        <v>24</v>
      </c>
      <c r="G50" s="133"/>
      <c r="H50" s="133"/>
      <c r="I50" s="214">
        <f>'Rozpočet Pol'!G69</f>
        <v>0</v>
      </c>
      <c r="J50" s="214"/>
    </row>
    <row r="51" spans="1:10" ht="25.5" customHeight="1" x14ac:dyDescent="0.2">
      <c r="A51" s="120"/>
      <c r="B51" s="122" t="s">
        <v>65</v>
      </c>
      <c r="C51" s="215" t="s">
        <v>66</v>
      </c>
      <c r="D51" s="216"/>
      <c r="E51" s="216"/>
      <c r="F51" s="132" t="s">
        <v>24</v>
      </c>
      <c r="G51" s="133"/>
      <c r="H51" s="133"/>
      <c r="I51" s="214">
        <f>'Rozpočet Pol'!G78</f>
        <v>0</v>
      </c>
      <c r="J51" s="214"/>
    </row>
    <row r="52" spans="1:10" ht="25.5" customHeight="1" x14ac:dyDescent="0.2">
      <c r="A52" s="120"/>
      <c r="B52" s="129" t="s">
        <v>67</v>
      </c>
      <c r="C52" s="211" t="s">
        <v>26</v>
      </c>
      <c r="D52" s="212"/>
      <c r="E52" s="212"/>
      <c r="F52" s="134" t="s">
        <v>67</v>
      </c>
      <c r="G52" s="135"/>
      <c r="H52" s="135"/>
      <c r="I52" s="210">
        <f>'Rozpočet Pol'!G81</f>
        <v>0</v>
      </c>
      <c r="J52" s="210"/>
    </row>
    <row r="53" spans="1:10" ht="25.5" customHeight="1" x14ac:dyDescent="0.2">
      <c r="A53" s="121"/>
      <c r="B53" s="125" t="s">
        <v>1</v>
      </c>
      <c r="C53" s="125"/>
      <c r="D53" s="126"/>
      <c r="E53" s="126"/>
      <c r="F53" s="136"/>
      <c r="G53" s="137"/>
      <c r="H53" s="137"/>
      <c r="I53" s="213">
        <f>SUM(I47:I52)</f>
        <v>0</v>
      </c>
      <c r="J53" s="213"/>
    </row>
    <row r="54" spans="1:10" x14ac:dyDescent="0.2">
      <c r="F54" s="93"/>
      <c r="G54" s="94"/>
      <c r="H54" s="93"/>
      <c r="I54" s="94"/>
      <c r="J54" s="94"/>
    </row>
    <row r="55" spans="1:10" x14ac:dyDescent="0.2">
      <c r="F55" s="93"/>
      <c r="G55" s="94"/>
      <c r="H55" s="93"/>
      <c r="I55" s="94"/>
      <c r="J55" s="94"/>
    </row>
    <row r="56" spans="1:10" x14ac:dyDescent="0.2">
      <c r="F56" s="93"/>
      <c r="G56" s="94"/>
      <c r="H56" s="93"/>
      <c r="I56" s="94"/>
      <c r="J56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 x14ac:dyDescent="0.2">
      <c r="A2" s="78" t="s">
        <v>41</v>
      </c>
      <c r="B2" s="77"/>
      <c r="C2" s="259"/>
      <c r="D2" s="259"/>
      <c r="E2" s="259"/>
      <c r="F2" s="259"/>
      <c r="G2" s="260"/>
    </row>
    <row r="3" spans="1:7" ht="24.95" hidden="1" customHeight="1" x14ac:dyDescent="0.2">
      <c r="A3" s="78" t="s">
        <v>7</v>
      </c>
      <c r="B3" s="77"/>
      <c r="C3" s="259"/>
      <c r="D3" s="259"/>
      <c r="E3" s="259"/>
      <c r="F3" s="259"/>
      <c r="G3" s="260"/>
    </row>
    <row r="4" spans="1:7" ht="24.95" hidden="1" customHeight="1" x14ac:dyDescent="0.2">
      <c r="A4" s="78" t="s">
        <v>8</v>
      </c>
      <c r="B4" s="77"/>
      <c r="C4" s="259"/>
      <c r="D4" s="259"/>
      <c r="E4" s="259"/>
      <c r="F4" s="259"/>
      <c r="G4" s="26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3"/>
  <sheetViews>
    <sheetView zoomScaleNormal="100" workbookViewId="0">
      <selection activeCell="Z47" sqref="Z47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1" t="s">
        <v>6</v>
      </c>
      <c r="B1" s="261"/>
      <c r="C1" s="261"/>
      <c r="D1" s="261"/>
      <c r="E1" s="261"/>
      <c r="F1" s="261"/>
      <c r="G1" s="261"/>
      <c r="AE1" t="s">
        <v>70</v>
      </c>
    </row>
    <row r="2" spans="1:60" ht="24.95" customHeight="1" x14ac:dyDescent="0.2">
      <c r="A2" s="142" t="s">
        <v>69</v>
      </c>
      <c r="B2" s="140"/>
      <c r="C2" s="262" t="s">
        <v>46</v>
      </c>
      <c r="D2" s="263"/>
      <c r="E2" s="263"/>
      <c r="F2" s="263"/>
      <c r="G2" s="264"/>
      <c r="AE2" t="s">
        <v>71</v>
      </c>
    </row>
    <row r="3" spans="1:60" ht="24.95" customHeight="1" x14ac:dyDescent="0.2">
      <c r="A3" s="143" t="s">
        <v>7</v>
      </c>
      <c r="B3" s="141"/>
      <c r="C3" s="265" t="s">
        <v>43</v>
      </c>
      <c r="D3" s="266"/>
      <c r="E3" s="266"/>
      <c r="F3" s="266"/>
      <c r="G3" s="267"/>
      <c r="AE3" t="s">
        <v>72</v>
      </c>
    </row>
    <row r="4" spans="1:60" ht="24.95" hidden="1" customHeight="1" x14ac:dyDescent="0.2">
      <c r="A4" s="143" t="s">
        <v>8</v>
      </c>
      <c r="B4" s="141"/>
      <c r="C4" s="265"/>
      <c r="D4" s="266"/>
      <c r="E4" s="266"/>
      <c r="F4" s="266"/>
      <c r="G4" s="267"/>
      <c r="AE4" t="s">
        <v>73</v>
      </c>
    </row>
    <row r="5" spans="1:60" hidden="1" x14ac:dyDescent="0.2">
      <c r="A5" s="144" t="s">
        <v>74</v>
      </c>
      <c r="B5" s="145"/>
      <c r="C5" s="146"/>
      <c r="D5" s="147"/>
      <c r="E5" s="147"/>
      <c r="F5" s="147"/>
      <c r="G5" s="148"/>
      <c r="AE5" t="s">
        <v>75</v>
      </c>
    </row>
    <row r="7" spans="1:60" ht="26.1" customHeight="1" x14ac:dyDescent="0.2">
      <c r="A7" s="179" t="s">
        <v>76</v>
      </c>
      <c r="B7" s="180" t="s">
        <v>77</v>
      </c>
      <c r="C7" s="180" t="s">
        <v>78</v>
      </c>
      <c r="D7" s="179" t="s">
        <v>79</v>
      </c>
      <c r="E7" s="179" t="s">
        <v>80</v>
      </c>
      <c r="F7" s="181" t="s">
        <v>81</v>
      </c>
      <c r="G7" s="182" t="s">
        <v>28</v>
      </c>
      <c r="H7" s="164" t="s">
        <v>29</v>
      </c>
      <c r="I7" s="164" t="s">
        <v>82</v>
      </c>
      <c r="J7" s="164" t="s">
        <v>30</v>
      </c>
      <c r="K7" s="164" t="s">
        <v>83</v>
      </c>
      <c r="L7" s="164" t="s">
        <v>84</v>
      </c>
      <c r="M7" s="164" t="s">
        <v>85</v>
      </c>
      <c r="N7" s="164" t="s">
        <v>86</v>
      </c>
      <c r="O7" s="164" t="s">
        <v>87</v>
      </c>
      <c r="P7" s="164" t="s">
        <v>88</v>
      </c>
      <c r="Q7" s="164" t="s">
        <v>89</v>
      </c>
      <c r="R7" s="164" t="s">
        <v>90</v>
      </c>
      <c r="S7" s="164" t="s">
        <v>91</v>
      </c>
      <c r="T7" s="164" t="s">
        <v>92</v>
      </c>
      <c r="U7" s="152" t="s">
        <v>93</v>
      </c>
    </row>
    <row r="8" spans="1:60" x14ac:dyDescent="0.2">
      <c r="A8" s="173" t="s">
        <v>94</v>
      </c>
      <c r="B8" s="174" t="s">
        <v>57</v>
      </c>
      <c r="C8" s="175" t="s">
        <v>58</v>
      </c>
      <c r="D8" s="176"/>
      <c r="E8" s="177"/>
      <c r="F8" s="178"/>
      <c r="G8" s="178"/>
      <c r="H8" s="166"/>
      <c r="I8" s="166">
        <f>SUM(I9:I28)</f>
        <v>10133.67</v>
      </c>
      <c r="J8" s="166"/>
      <c r="K8" s="166">
        <f>SUM(K9:K28)</f>
        <v>1301114.6800000002</v>
      </c>
      <c r="L8" s="166"/>
      <c r="M8" s="166">
        <f>SUM(M9:M28)</f>
        <v>0</v>
      </c>
      <c r="N8" s="151"/>
      <c r="O8" s="151">
        <f>SUM(O9:O28)</f>
        <v>0.18232999999999999</v>
      </c>
      <c r="P8" s="151"/>
      <c r="Q8" s="151">
        <f>SUM(Q9:Q28)</f>
        <v>0</v>
      </c>
      <c r="R8" s="151"/>
      <c r="S8" s="151"/>
      <c r="T8" s="165"/>
      <c r="U8" s="151">
        <f>SUM(U9:U28)</f>
        <v>1649.06</v>
      </c>
      <c r="AE8" t="s">
        <v>95</v>
      </c>
    </row>
    <row r="9" spans="1:60" ht="22.5" outlineLevel="1" x14ac:dyDescent="0.2">
      <c r="A9" s="150">
        <v>1</v>
      </c>
      <c r="B9" s="153" t="s">
        <v>172</v>
      </c>
      <c r="C9" s="170" t="s">
        <v>173</v>
      </c>
      <c r="D9" s="154" t="s">
        <v>96</v>
      </c>
      <c r="E9" s="160">
        <v>177.26</v>
      </c>
      <c r="F9" s="197"/>
      <c r="G9" s="162">
        <f>E9*F9</f>
        <v>0</v>
      </c>
      <c r="H9" s="162">
        <v>0</v>
      </c>
      <c r="I9" s="162">
        <f>ROUND(E9*H9,2)</f>
        <v>0</v>
      </c>
      <c r="J9" s="162">
        <v>81.099999999999994</v>
      </c>
      <c r="K9" s="162">
        <f>ROUND(E9*J9,2)</f>
        <v>14375.79</v>
      </c>
      <c r="L9" s="162">
        <v>15</v>
      </c>
      <c r="M9" s="162">
        <f>G9*(1+L9/100)</f>
        <v>0</v>
      </c>
      <c r="N9" s="155">
        <v>0</v>
      </c>
      <c r="O9" s="155">
        <f>ROUND(E9*N9,5)</f>
        <v>0</v>
      </c>
      <c r="P9" s="155">
        <v>0</v>
      </c>
      <c r="Q9" s="155">
        <f>ROUND(E9*P9,5)</f>
        <v>0</v>
      </c>
      <c r="R9" s="155"/>
      <c r="S9" s="155"/>
      <c r="T9" s="156">
        <v>1.34E-2</v>
      </c>
      <c r="U9" s="155">
        <f>ROUND(E9*T9,2)</f>
        <v>2.38</v>
      </c>
      <c r="V9" s="149"/>
      <c r="W9" s="149"/>
      <c r="X9" s="149"/>
      <c r="Y9" s="149"/>
      <c r="Z9" s="149"/>
      <c r="AA9" s="149"/>
      <c r="AB9" s="149"/>
      <c r="AC9" s="149"/>
      <c r="AD9" s="149"/>
      <c r="AE9" s="149" t="s">
        <v>97</v>
      </c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0"/>
      <c r="B10" s="153"/>
      <c r="C10" s="171" t="s">
        <v>175</v>
      </c>
      <c r="D10" s="157"/>
      <c r="E10" s="161">
        <v>165.26</v>
      </c>
      <c r="F10" s="162"/>
      <c r="G10" s="162"/>
      <c r="H10" s="162"/>
      <c r="I10" s="162"/>
      <c r="J10" s="162"/>
      <c r="K10" s="162"/>
      <c r="L10" s="162"/>
      <c r="M10" s="162"/>
      <c r="N10" s="155"/>
      <c r="O10" s="155"/>
      <c r="P10" s="155"/>
      <c r="Q10" s="155"/>
      <c r="R10" s="155"/>
      <c r="S10" s="155"/>
      <c r="T10" s="156"/>
      <c r="U10" s="155"/>
      <c r="V10" s="149"/>
      <c r="W10" s="149"/>
      <c r="X10" s="149"/>
      <c r="Y10" s="149"/>
      <c r="Z10" s="149"/>
      <c r="AA10" s="149"/>
      <c r="AB10" s="149"/>
      <c r="AC10" s="149"/>
      <c r="AD10" s="149"/>
      <c r="AE10" s="149" t="s">
        <v>98</v>
      </c>
      <c r="AF10" s="149">
        <v>0</v>
      </c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0"/>
      <c r="B11" s="153"/>
      <c r="C11" s="171" t="s">
        <v>174</v>
      </c>
      <c r="D11" s="157"/>
      <c r="E11" s="161">
        <v>12</v>
      </c>
      <c r="F11" s="162"/>
      <c r="G11" s="162"/>
      <c r="H11" s="162"/>
      <c r="I11" s="162"/>
      <c r="J11" s="162"/>
      <c r="K11" s="162"/>
      <c r="L11" s="162"/>
      <c r="M11" s="162"/>
      <c r="N11" s="155"/>
      <c r="O11" s="155"/>
      <c r="P11" s="155"/>
      <c r="Q11" s="155"/>
      <c r="R11" s="155"/>
      <c r="S11" s="155"/>
      <c r="T11" s="156"/>
      <c r="U11" s="155"/>
      <c r="V11" s="149"/>
      <c r="W11" s="149"/>
      <c r="X11" s="149"/>
      <c r="Y11" s="149"/>
      <c r="Z11" s="149"/>
      <c r="AA11" s="149"/>
      <c r="AB11" s="149"/>
      <c r="AC11" s="149"/>
      <c r="AD11" s="149"/>
      <c r="AE11" s="149" t="s">
        <v>98</v>
      </c>
      <c r="AF11" s="149">
        <v>0</v>
      </c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0">
        <v>2</v>
      </c>
      <c r="B12" s="153" t="s">
        <v>184</v>
      </c>
      <c r="C12" s="170" t="s">
        <v>185</v>
      </c>
      <c r="D12" s="154" t="s">
        <v>101</v>
      </c>
      <c r="E12" s="160">
        <v>1250</v>
      </c>
      <c r="F12" s="197"/>
      <c r="G12" s="162">
        <f>E12*F12</f>
        <v>0</v>
      </c>
      <c r="H12" s="162"/>
      <c r="I12" s="162"/>
      <c r="J12" s="162"/>
      <c r="K12" s="162"/>
      <c r="L12" s="162"/>
      <c r="M12" s="162"/>
      <c r="N12" s="155"/>
      <c r="O12" s="155"/>
      <c r="P12" s="155"/>
      <c r="Q12" s="155"/>
      <c r="R12" s="155"/>
      <c r="S12" s="155"/>
      <c r="T12" s="156"/>
      <c r="U12" s="155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0"/>
      <c r="B13" s="153"/>
      <c r="C13" s="171" t="s">
        <v>181</v>
      </c>
      <c r="D13" s="157"/>
      <c r="E13" s="161">
        <f>5000*0.25</f>
        <v>1250</v>
      </c>
      <c r="F13" s="162"/>
      <c r="G13" s="162"/>
      <c r="H13" s="162"/>
      <c r="I13" s="162"/>
      <c r="J13" s="162"/>
      <c r="K13" s="162"/>
      <c r="L13" s="162"/>
      <c r="M13" s="162"/>
      <c r="N13" s="155"/>
      <c r="O13" s="155"/>
      <c r="P13" s="155"/>
      <c r="Q13" s="155"/>
      <c r="R13" s="155"/>
      <c r="S13" s="155"/>
      <c r="T13" s="156"/>
      <c r="U13" s="155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12.75" customHeight="1" outlineLevel="1" x14ac:dyDescent="0.2">
      <c r="A14" s="150">
        <v>3</v>
      </c>
      <c r="B14" s="153" t="s">
        <v>168</v>
      </c>
      <c r="C14" s="170" t="s">
        <v>169</v>
      </c>
      <c r="D14" s="154" t="s">
        <v>96</v>
      </c>
      <c r="E14" s="160">
        <f>177.26+1250</f>
        <v>1427.26</v>
      </c>
      <c r="F14" s="197"/>
      <c r="G14" s="162">
        <f>E14*F14</f>
        <v>0</v>
      </c>
      <c r="H14" s="162"/>
      <c r="I14" s="162"/>
      <c r="J14" s="162"/>
      <c r="K14" s="162"/>
      <c r="L14" s="162"/>
      <c r="M14" s="162"/>
      <c r="N14" s="155"/>
      <c r="O14" s="155"/>
      <c r="P14" s="155"/>
      <c r="Q14" s="155"/>
      <c r="R14" s="155"/>
      <c r="S14" s="155"/>
      <c r="T14" s="156"/>
      <c r="U14" s="155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12.75" customHeight="1" outlineLevel="1" x14ac:dyDescent="0.2">
      <c r="A15" s="150">
        <v>3</v>
      </c>
      <c r="B15" s="153" t="s">
        <v>167</v>
      </c>
      <c r="C15" s="170" t="s">
        <v>171</v>
      </c>
      <c r="D15" s="154" t="s">
        <v>96</v>
      </c>
      <c r="E15" s="160">
        <v>1427.26</v>
      </c>
      <c r="F15" s="197"/>
      <c r="G15" s="162">
        <f>E15*F15</f>
        <v>0</v>
      </c>
      <c r="H15" s="162"/>
      <c r="I15" s="162"/>
      <c r="J15" s="162"/>
      <c r="K15" s="162"/>
      <c r="L15" s="162"/>
      <c r="M15" s="162"/>
      <c r="N15" s="155"/>
      <c r="O15" s="155"/>
      <c r="P15" s="155"/>
      <c r="Q15" s="155"/>
      <c r="R15" s="155"/>
      <c r="S15" s="155"/>
      <c r="T15" s="156"/>
      <c r="U15" s="155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0">
        <v>4</v>
      </c>
      <c r="B16" s="153" t="s">
        <v>176</v>
      </c>
      <c r="C16" s="170" t="s">
        <v>177</v>
      </c>
      <c r="D16" s="154" t="s">
        <v>96</v>
      </c>
      <c r="E16" s="160">
        <v>1427.26</v>
      </c>
      <c r="F16" s="197"/>
      <c r="G16" s="162">
        <f>E16*F16</f>
        <v>0</v>
      </c>
      <c r="H16" s="162"/>
      <c r="I16" s="162"/>
      <c r="J16" s="162"/>
      <c r="K16" s="162"/>
      <c r="L16" s="162"/>
      <c r="M16" s="162"/>
      <c r="N16" s="155"/>
      <c r="O16" s="155"/>
      <c r="P16" s="155"/>
      <c r="Q16" s="155"/>
      <c r="R16" s="155"/>
      <c r="S16" s="155"/>
      <c r="T16" s="156"/>
      <c r="U16" s="155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0">
        <v>5</v>
      </c>
      <c r="B17" s="153" t="s">
        <v>186</v>
      </c>
      <c r="C17" s="170" t="s">
        <v>187</v>
      </c>
      <c r="D17" s="154" t="s">
        <v>101</v>
      </c>
      <c r="E17" s="160">
        <f>5060</f>
        <v>5060</v>
      </c>
      <c r="F17" s="197"/>
      <c r="G17" s="162">
        <f>E17*F17</f>
        <v>0</v>
      </c>
      <c r="H17" s="162">
        <v>0</v>
      </c>
      <c r="I17" s="162">
        <f>ROUND(E17*H17,2)</f>
        <v>0</v>
      </c>
      <c r="J17" s="162">
        <v>81.099999999999994</v>
      </c>
      <c r="K17" s="162">
        <f>ROUND(E17*J17,2)</f>
        <v>410366</v>
      </c>
      <c r="L17" s="162">
        <v>15</v>
      </c>
      <c r="M17" s="162">
        <f>G17*(1+L17/100)</f>
        <v>0</v>
      </c>
      <c r="N17" s="155">
        <v>0</v>
      </c>
      <c r="O17" s="155">
        <f>ROUND(E17*N17,5)</f>
        <v>0</v>
      </c>
      <c r="P17" s="155">
        <v>0</v>
      </c>
      <c r="Q17" s="155">
        <f>ROUND(E17*P17,5)</f>
        <v>0</v>
      </c>
      <c r="R17" s="155"/>
      <c r="S17" s="155"/>
      <c r="T17" s="156">
        <v>1.34E-2</v>
      </c>
      <c r="U17" s="155">
        <f>ROUND(E17*T17,2)</f>
        <v>67.8</v>
      </c>
      <c r="V17" s="149"/>
      <c r="W17" s="149"/>
      <c r="X17" s="149"/>
      <c r="Y17" s="149"/>
      <c r="Z17" s="149"/>
      <c r="AA17" s="149"/>
      <c r="AB17" s="149"/>
      <c r="AC17" s="149"/>
      <c r="AD17" s="149"/>
      <c r="AE17" s="149" t="s">
        <v>97</v>
      </c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0"/>
      <c r="B18" s="153"/>
      <c r="C18" s="171" t="s">
        <v>156</v>
      </c>
      <c r="D18" s="157"/>
      <c r="E18" s="161">
        <v>5000</v>
      </c>
      <c r="F18" s="162"/>
      <c r="G18" s="162"/>
      <c r="H18" s="162"/>
      <c r="I18" s="162"/>
      <c r="J18" s="162"/>
      <c r="K18" s="162"/>
      <c r="L18" s="162"/>
      <c r="M18" s="162"/>
      <c r="N18" s="155"/>
      <c r="O18" s="155"/>
      <c r="P18" s="155"/>
      <c r="Q18" s="155"/>
      <c r="R18" s="155"/>
      <c r="S18" s="155"/>
      <c r="T18" s="156"/>
      <c r="U18" s="155"/>
      <c r="V18" s="149"/>
      <c r="W18" s="149"/>
      <c r="X18" s="149"/>
      <c r="Y18" s="149"/>
      <c r="Z18" s="149"/>
      <c r="AA18" s="149"/>
      <c r="AB18" s="149"/>
      <c r="AC18" s="149"/>
      <c r="AD18" s="149"/>
      <c r="AE18" s="149" t="s">
        <v>98</v>
      </c>
      <c r="AF18" s="149">
        <v>0</v>
      </c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0"/>
      <c r="B19" s="153"/>
      <c r="C19" s="171" t="s">
        <v>134</v>
      </c>
      <c r="D19" s="157"/>
      <c r="E19" s="161">
        <v>60</v>
      </c>
      <c r="F19" s="162"/>
      <c r="G19" s="162"/>
      <c r="H19" s="162"/>
      <c r="I19" s="162"/>
      <c r="J19" s="162"/>
      <c r="K19" s="162"/>
      <c r="L19" s="162"/>
      <c r="M19" s="162"/>
      <c r="N19" s="155"/>
      <c r="O19" s="155"/>
      <c r="P19" s="155"/>
      <c r="Q19" s="155"/>
      <c r="R19" s="155"/>
      <c r="S19" s="155"/>
      <c r="T19" s="156"/>
      <c r="U19" s="155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50">
        <v>6</v>
      </c>
      <c r="B20" s="153" t="s">
        <v>99</v>
      </c>
      <c r="C20" s="170" t="s">
        <v>100</v>
      </c>
      <c r="D20" s="154" t="s">
        <v>101</v>
      </c>
      <c r="E20" s="160">
        <v>5000</v>
      </c>
      <c r="F20" s="197"/>
      <c r="G20" s="162">
        <f t="shared" ref="G20:G21" si="0">E20*F20</f>
        <v>0</v>
      </c>
      <c r="H20" s="162">
        <v>1.85</v>
      </c>
      <c r="I20" s="162">
        <f>ROUND(E20*H20,2)</f>
        <v>9250</v>
      </c>
      <c r="J20" s="162">
        <v>32.15</v>
      </c>
      <c r="K20" s="162">
        <f>ROUND(E20*J20,2)</f>
        <v>160750</v>
      </c>
      <c r="L20" s="162">
        <v>15</v>
      </c>
      <c r="M20" s="162">
        <f>G20*(1+L20/100)</f>
        <v>0</v>
      </c>
      <c r="N20" s="155">
        <v>3.0000000000000001E-5</v>
      </c>
      <c r="O20" s="155">
        <f>ROUND(E20*N20,5)</f>
        <v>0.15</v>
      </c>
      <c r="P20" s="155">
        <v>0</v>
      </c>
      <c r="Q20" s="155">
        <f>ROUND(E20*P20,5)</f>
        <v>0</v>
      </c>
      <c r="R20" s="155"/>
      <c r="S20" s="155"/>
      <c r="T20" s="156">
        <v>0.25752000000000003</v>
      </c>
      <c r="U20" s="155">
        <f>ROUND(E20*T20,2)</f>
        <v>1287.5999999999999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 t="s">
        <v>97</v>
      </c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50">
        <v>7</v>
      </c>
      <c r="B21" s="153" t="s">
        <v>148</v>
      </c>
      <c r="C21" s="170" t="s">
        <v>188</v>
      </c>
      <c r="D21" s="154" t="s">
        <v>102</v>
      </c>
      <c r="E21" s="160">
        <v>10000</v>
      </c>
      <c r="F21" s="197"/>
      <c r="G21" s="162">
        <f t="shared" si="0"/>
        <v>0</v>
      </c>
      <c r="H21" s="162">
        <v>0</v>
      </c>
      <c r="I21" s="162">
        <f>ROUND(E21*H21,2)</f>
        <v>0</v>
      </c>
      <c r="J21" s="162">
        <v>19.3</v>
      </c>
      <c r="K21" s="162">
        <f>ROUND(E21*J21,2)</f>
        <v>193000</v>
      </c>
      <c r="L21" s="162">
        <v>15</v>
      </c>
      <c r="M21" s="162">
        <f>G21*(1+L21/100)</f>
        <v>0</v>
      </c>
      <c r="N21" s="155">
        <v>0</v>
      </c>
      <c r="O21" s="155">
        <f>ROUND(E21*N21,5)</f>
        <v>0</v>
      </c>
      <c r="P21" s="155">
        <v>0</v>
      </c>
      <c r="Q21" s="155">
        <f>ROUND(E21*P21,5)</f>
        <v>0</v>
      </c>
      <c r="R21" s="155"/>
      <c r="S21" s="155"/>
      <c r="T21" s="156">
        <v>0</v>
      </c>
      <c r="U21" s="155">
        <f>ROUND(E21*T21,2)</f>
        <v>0</v>
      </c>
      <c r="V21" s="149"/>
      <c r="W21" s="149"/>
      <c r="X21" s="149"/>
      <c r="Y21" s="149"/>
      <c r="Z21" s="149"/>
      <c r="AA21" s="149"/>
      <c r="AB21" s="149"/>
      <c r="AC21" s="149"/>
      <c r="AD21" s="149"/>
      <c r="AE21" s="149" t="s">
        <v>97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0"/>
      <c r="B22" s="153"/>
      <c r="C22" s="171" t="s">
        <v>158</v>
      </c>
      <c r="D22" s="157"/>
      <c r="E22" s="161">
        <v>10000</v>
      </c>
      <c r="F22" s="162"/>
      <c r="G22" s="162"/>
      <c r="H22" s="162"/>
      <c r="I22" s="162"/>
      <c r="J22" s="162"/>
      <c r="K22" s="162"/>
      <c r="L22" s="162"/>
      <c r="M22" s="162"/>
      <c r="N22" s="155"/>
      <c r="O22" s="155"/>
      <c r="P22" s="155"/>
      <c r="Q22" s="155"/>
      <c r="R22" s="155"/>
      <c r="S22" s="155"/>
      <c r="T22" s="156"/>
      <c r="U22" s="155"/>
      <c r="V22" s="149"/>
      <c r="W22" s="149"/>
      <c r="X22" s="149"/>
      <c r="Y22" s="149"/>
      <c r="Z22" s="149"/>
      <c r="AA22" s="149"/>
      <c r="AB22" s="149"/>
      <c r="AC22" s="149"/>
      <c r="AD22" s="149"/>
      <c r="AE22" s="149" t="s">
        <v>98</v>
      </c>
      <c r="AF22" s="149">
        <v>0</v>
      </c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50">
        <v>8</v>
      </c>
      <c r="B23" s="153" t="s">
        <v>149</v>
      </c>
      <c r="C23" s="170" t="s">
        <v>195</v>
      </c>
      <c r="D23" s="154" t="s">
        <v>103</v>
      </c>
      <c r="E23" s="160">
        <v>1116.5999999999999</v>
      </c>
      <c r="F23" s="197"/>
      <c r="G23" s="162">
        <f>E23*F23</f>
        <v>0</v>
      </c>
      <c r="H23" s="162">
        <v>0</v>
      </c>
      <c r="I23" s="162">
        <f>ROUND(E23*H23,2)</f>
        <v>0</v>
      </c>
      <c r="J23" s="162">
        <v>435</v>
      </c>
      <c r="K23" s="162">
        <f>ROUND(E23*J23,2)</f>
        <v>485721</v>
      </c>
      <c r="L23" s="162">
        <v>15</v>
      </c>
      <c r="M23" s="162">
        <f>G23*(1+L23/100)</f>
        <v>0</v>
      </c>
      <c r="N23" s="155">
        <v>0</v>
      </c>
      <c r="O23" s="155">
        <f>ROUND(E23*N23,5)</f>
        <v>0</v>
      </c>
      <c r="P23" s="155">
        <v>0</v>
      </c>
      <c r="Q23" s="155">
        <f>ROUND(E23*P23,5)</f>
        <v>0</v>
      </c>
      <c r="R23" s="155"/>
      <c r="S23" s="155"/>
      <c r="T23" s="156">
        <v>0</v>
      </c>
      <c r="U23" s="155">
        <f>ROUND(E23*T23,2)</f>
        <v>0</v>
      </c>
      <c r="V23" s="149"/>
      <c r="W23" s="149"/>
      <c r="X23" s="149"/>
      <c r="Y23" s="149"/>
      <c r="Z23" s="149"/>
      <c r="AA23" s="149"/>
      <c r="AB23" s="149"/>
      <c r="AC23" s="149"/>
      <c r="AD23" s="149"/>
      <c r="AE23" s="149" t="s">
        <v>97</v>
      </c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15" outlineLevel="1" x14ac:dyDescent="0.25">
      <c r="A24" s="150"/>
      <c r="B24" s="153"/>
      <c r="C24" s="208" t="s">
        <v>194</v>
      </c>
      <c r="D24" s="157"/>
      <c r="E24" s="161">
        <f>(5000*0.15*1.5)-8.4</f>
        <v>1116.5999999999999</v>
      </c>
      <c r="F24" s="162"/>
      <c r="G24" s="162"/>
      <c r="H24" s="162"/>
      <c r="I24" s="162"/>
      <c r="J24" s="162"/>
      <c r="K24" s="162"/>
      <c r="L24" s="162"/>
      <c r="M24" s="162"/>
      <c r="N24" s="155"/>
      <c r="O24" s="155"/>
      <c r="P24" s="155"/>
      <c r="Q24" s="155"/>
      <c r="R24" s="155"/>
      <c r="S24" s="155"/>
      <c r="T24" s="156"/>
      <c r="U24" s="155"/>
      <c r="V24" s="149"/>
      <c r="W24" s="149"/>
      <c r="X24" s="149"/>
      <c r="Y24" s="149"/>
      <c r="Z24" s="149"/>
      <c r="AA24" s="149"/>
      <c r="AB24" s="149"/>
      <c r="AC24" s="149"/>
      <c r="AD24" s="149"/>
      <c r="AE24" s="149" t="s">
        <v>98</v>
      </c>
      <c r="AF24" s="149">
        <v>0</v>
      </c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0">
        <v>9</v>
      </c>
      <c r="B25" s="153" t="s">
        <v>104</v>
      </c>
      <c r="C25" s="170" t="s">
        <v>105</v>
      </c>
      <c r="D25" s="154" t="s">
        <v>96</v>
      </c>
      <c r="E25" s="160">
        <v>7.5359999999999996</v>
      </c>
      <c r="F25" s="197"/>
      <c r="G25" s="162">
        <f>E25*F25</f>
        <v>0</v>
      </c>
      <c r="H25" s="162">
        <v>0</v>
      </c>
      <c r="I25" s="162">
        <f>ROUND(E25*H25,2)</f>
        <v>0</v>
      </c>
      <c r="J25" s="162">
        <v>724</v>
      </c>
      <c r="K25" s="162">
        <f>ROUND(E25*J25,2)</f>
        <v>5456.06</v>
      </c>
      <c r="L25" s="162">
        <v>15</v>
      </c>
      <c r="M25" s="162">
        <f>G25*(1+L25/100)</f>
        <v>0</v>
      </c>
      <c r="N25" s="155">
        <v>0</v>
      </c>
      <c r="O25" s="155">
        <f>ROUND(E25*N25,5)</f>
        <v>0</v>
      </c>
      <c r="P25" s="155">
        <v>0</v>
      </c>
      <c r="Q25" s="155">
        <f>ROUND(E25*P25,5)</f>
        <v>0</v>
      </c>
      <c r="R25" s="155"/>
      <c r="S25" s="155"/>
      <c r="T25" s="156">
        <v>1.8260000000000001</v>
      </c>
      <c r="U25" s="155">
        <f>ROUND(E25*T25,2)</f>
        <v>13.76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 t="s">
        <v>97</v>
      </c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0"/>
      <c r="B26" s="153"/>
      <c r="C26" s="171" t="s">
        <v>160</v>
      </c>
      <c r="D26" s="157"/>
      <c r="E26" s="161">
        <f>100*3.14*0.2*0.2*0.6</f>
        <v>7.5360000000000014</v>
      </c>
      <c r="F26" s="162"/>
      <c r="G26" s="162"/>
      <c r="H26" s="162"/>
      <c r="I26" s="162"/>
      <c r="J26" s="162"/>
      <c r="K26" s="162"/>
      <c r="L26" s="162"/>
      <c r="M26" s="162"/>
      <c r="N26" s="155"/>
      <c r="O26" s="155"/>
      <c r="P26" s="155"/>
      <c r="Q26" s="155"/>
      <c r="R26" s="155"/>
      <c r="S26" s="155"/>
      <c r="T26" s="156"/>
      <c r="U26" s="155"/>
      <c r="V26" s="149"/>
      <c r="W26" s="149"/>
      <c r="X26" s="149"/>
      <c r="Y26" s="149"/>
      <c r="Z26" s="149"/>
      <c r="AA26" s="149"/>
      <c r="AB26" s="149"/>
      <c r="AC26" s="149"/>
      <c r="AD26" s="149"/>
      <c r="AE26" s="149" t="s">
        <v>98</v>
      </c>
      <c r="AF26" s="149">
        <v>0</v>
      </c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50">
        <v>10</v>
      </c>
      <c r="B27" s="153" t="s">
        <v>146</v>
      </c>
      <c r="C27" s="170" t="s">
        <v>136</v>
      </c>
      <c r="D27" s="154" t="s">
        <v>101</v>
      </c>
      <c r="E27" s="160">
        <v>1077.6500000000001</v>
      </c>
      <c r="F27" s="197"/>
      <c r="G27" s="162">
        <f>E27*F27</f>
        <v>0</v>
      </c>
      <c r="H27" s="162">
        <v>0.82</v>
      </c>
      <c r="I27" s="162">
        <f>ROUND(E27*H27,2)</f>
        <v>883.67</v>
      </c>
      <c r="J27" s="162">
        <v>29.18</v>
      </c>
      <c r="K27" s="162">
        <f>ROUND(E27*J27,2)</f>
        <v>31445.83</v>
      </c>
      <c r="L27" s="162">
        <v>15</v>
      </c>
      <c r="M27" s="162">
        <f>G27*(1+L27/100)</f>
        <v>0</v>
      </c>
      <c r="N27" s="155">
        <v>3.0000000000000001E-5</v>
      </c>
      <c r="O27" s="155">
        <f>ROUND(E27*N27,5)</f>
        <v>3.2329999999999998E-2</v>
      </c>
      <c r="P27" s="155">
        <v>0</v>
      </c>
      <c r="Q27" s="155">
        <f>ROUND(E27*P27,5)</f>
        <v>0</v>
      </c>
      <c r="R27" s="155"/>
      <c r="S27" s="155"/>
      <c r="T27" s="156">
        <v>0.25752000000000003</v>
      </c>
      <c r="U27" s="155">
        <f>ROUND(E27*T27,2)</f>
        <v>277.52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 t="s">
        <v>97</v>
      </c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0"/>
      <c r="B28" s="153"/>
      <c r="C28" s="171" t="s">
        <v>159</v>
      </c>
      <c r="D28" s="157"/>
      <c r="E28" s="161">
        <f>242.5*1.5</f>
        <v>363.75</v>
      </c>
      <c r="F28" s="162"/>
      <c r="G28" s="162"/>
      <c r="H28" s="162"/>
      <c r="I28" s="162"/>
      <c r="J28" s="162"/>
      <c r="K28" s="162"/>
      <c r="L28" s="162"/>
      <c r="M28" s="162"/>
      <c r="N28" s="155"/>
      <c r="O28" s="155"/>
      <c r="P28" s="155"/>
      <c r="Q28" s="155"/>
      <c r="R28" s="155"/>
      <c r="S28" s="155"/>
      <c r="T28" s="156"/>
      <c r="U28" s="155"/>
      <c r="V28" s="149"/>
      <c r="W28" s="149"/>
      <c r="X28" s="149"/>
      <c r="Y28" s="149"/>
      <c r="Z28" s="149"/>
      <c r="AA28" s="149"/>
      <c r="AB28" s="149"/>
      <c r="AC28" s="149"/>
      <c r="AD28" s="149"/>
      <c r="AE28" s="149" t="s">
        <v>98</v>
      </c>
      <c r="AF28" s="149">
        <v>0</v>
      </c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0"/>
      <c r="B29" s="153"/>
      <c r="C29" s="171" t="s">
        <v>132</v>
      </c>
      <c r="D29" s="157"/>
      <c r="E29" s="161">
        <v>713.9</v>
      </c>
      <c r="F29" s="162"/>
      <c r="G29" s="162"/>
      <c r="H29" s="162"/>
      <c r="I29" s="162"/>
      <c r="J29" s="162"/>
      <c r="K29" s="162"/>
      <c r="L29" s="162"/>
      <c r="M29" s="162"/>
      <c r="N29" s="155"/>
      <c r="O29" s="155"/>
      <c r="P29" s="155"/>
      <c r="Q29" s="155"/>
      <c r="R29" s="155"/>
      <c r="S29" s="155"/>
      <c r="T29" s="156"/>
      <c r="U29" s="155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12.75" customHeight="1" outlineLevel="1" x14ac:dyDescent="0.2">
      <c r="A30" s="150">
        <v>11</v>
      </c>
      <c r="B30" s="153" t="s">
        <v>150</v>
      </c>
      <c r="C30" s="170" t="s">
        <v>137</v>
      </c>
      <c r="D30" s="154" t="s">
        <v>103</v>
      </c>
      <c r="E30" s="160">
        <f>1077.65*0.15*1.6</f>
        <v>258.63600000000002</v>
      </c>
      <c r="F30" s="197"/>
      <c r="G30" s="162">
        <f>E30*F30</f>
        <v>0</v>
      </c>
      <c r="H30" s="162"/>
      <c r="I30" s="162"/>
      <c r="J30" s="162"/>
      <c r="K30" s="162"/>
      <c r="L30" s="162"/>
      <c r="M30" s="162"/>
      <c r="N30" s="155"/>
      <c r="O30" s="155"/>
      <c r="P30" s="155"/>
      <c r="Q30" s="155"/>
      <c r="R30" s="155"/>
      <c r="S30" s="155"/>
      <c r="T30" s="156"/>
      <c r="U30" s="155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0">
        <v>12</v>
      </c>
      <c r="B31" s="153" t="s">
        <v>147</v>
      </c>
      <c r="C31" s="170" t="s">
        <v>133</v>
      </c>
      <c r="D31" s="154" t="s">
        <v>101</v>
      </c>
      <c r="E31" s="160">
        <v>713.9</v>
      </c>
      <c r="F31" s="197"/>
      <c r="G31" s="162">
        <f>E31*F31</f>
        <v>0</v>
      </c>
      <c r="H31" s="162"/>
      <c r="I31" s="162"/>
      <c r="J31" s="162"/>
      <c r="K31" s="162"/>
      <c r="L31" s="162"/>
      <c r="M31" s="162"/>
      <c r="N31" s="155"/>
      <c r="O31" s="155"/>
      <c r="P31" s="155"/>
      <c r="Q31" s="155"/>
      <c r="R31" s="155"/>
      <c r="S31" s="155"/>
      <c r="T31" s="156"/>
      <c r="U31" s="155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0"/>
      <c r="B32" s="153"/>
      <c r="C32" s="171" t="s">
        <v>132</v>
      </c>
      <c r="D32" s="157"/>
      <c r="E32" s="161">
        <v>713.9</v>
      </c>
      <c r="F32" s="162"/>
      <c r="G32" s="162"/>
      <c r="H32" s="162"/>
      <c r="I32" s="162"/>
      <c r="J32" s="162"/>
      <c r="K32" s="162"/>
      <c r="L32" s="162"/>
      <c r="M32" s="162"/>
      <c r="N32" s="155"/>
      <c r="O32" s="155"/>
      <c r="P32" s="155"/>
      <c r="Q32" s="155"/>
      <c r="R32" s="155"/>
      <c r="S32" s="155"/>
      <c r="T32" s="156"/>
      <c r="U32" s="155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15" customHeight="1" outlineLevel="1" x14ac:dyDescent="0.2">
      <c r="A33" s="183"/>
      <c r="B33" s="184" t="s">
        <v>125</v>
      </c>
      <c r="C33" s="188" t="str">
        <f>C8</f>
        <v>Zemní práce</v>
      </c>
      <c r="D33" s="185"/>
      <c r="E33" s="186"/>
      <c r="F33" s="186"/>
      <c r="G33" s="187">
        <f>G9+G12+G14+G15+G16+G17+G20+G21+G23+G25+G27+G30+G31</f>
        <v>0</v>
      </c>
      <c r="H33" s="162"/>
      <c r="I33" s="162"/>
      <c r="J33" s="162"/>
      <c r="K33" s="162"/>
      <c r="L33" s="162"/>
      <c r="M33" s="162"/>
      <c r="N33" s="155"/>
      <c r="O33" s="155"/>
      <c r="P33" s="155"/>
      <c r="Q33" s="155"/>
      <c r="R33" s="155"/>
      <c r="S33" s="155"/>
      <c r="T33" s="156"/>
      <c r="U33" s="155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73" t="s">
        <v>94</v>
      </c>
      <c r="B34" s="174" t="s">
        <v>59</v>
      </c>
      <c r="C34" s="175" t="s">
        <v>126</v>
      </c>
      <c r="D34" s="176"/>
      <c r="E34" s="177"/>
      <c r="F34" s="178"/>
      <c r="G34" s="178"/>
      <c r="H34" s="163"/>
      <c r="I34" s="163">
        <f>SUM(I35:I40)</f>
        <v>31757.34</v>
      </c>
      <c r="J34" s="163"/>
      <c r="K34" s="163">
        <f>SUM(K35:K40)</f>
        <v>10862.7</v>
      </c>
      <c r="L34" s="163"/>
      <c r="M34" s="163">
        <f>SUM(M35:M40)</f>
        <v>0</v>
      </c>
      <c r="N34" s="158"/>
      <c r="O34" s="158">
        <f>SUM(O35:O40)</f>
        <v>19.302070000000001</v>
      </c>
      <c r="P34" s="158"/>
      <c r="Q34" s="158">
        <f>SUM(Q35:Q40)</f>
        <v>0</v>
      </c>
      <c r="R34" s="158"/>
      <c r="S34" s="158"/>
      <c r="T34" s="159"/>
      <c r="U34" s="158">
        <f>SUM(U35:U40)</f>
        <v>31.52</v>
      </c>
      <c r="AE34" t="s">
        <v>95</v>
      </c>
    </row>
    <row r="35" spans="1:60" ht="22.5" outlineLevel="1" x14ac:dyDescent="0.2">
      <c r="A35" s="150">
        <v>13</v>
      </c>
      <c r="B35" s="153" t="s">
        <v>106</v>
      </c>
      <c r="C35" s="170" t="s">
        <v>107</v>
      </c>
      <c r="D35" s="154" t="s">
        <v>108</v>
      </c>
      <c r="E35" s="160">
        <v>558.5</v>
      </c>
      <c r="F35" s="197"/>
      <c r="G35" s="162">
        <f>E35*F35</f>
        <v>0</v>
      </c>
      <c r="H35" s="162">
        <v>28.34</v>
      </c>
      <c r="I35" s="162">
        <f>ROUND(E35*H35,2)</f>
        <v>15827.89</v>
      </c>
      <c r="J35" s="162">
        <v>16.059999999999999</v>
      </c>
      <c r="K35" s="162">
        <f>ROUND(E35*J35,2)</f>
        <v>8969.51</v>
      </c>
      <c r="L35" s="162">
        <v>15</v>
      </c>
      <c r="M35" s="162">
        <f>G35*(1+L35/100)</f>
        <v>0</v>
      </c>
      <c r="N35" s="155">
        <v>4.8999999999999998E-4</v>
      </c>
      <c r="O35" s="155">
        <f>ROUND(E35*N35,5)</f>
        <v>0.27367000000000002</v>
      </c>
      <c r="P35" s="155">
        <v>0</v>
      </c>
      <c r="Q35" s="155">
        <f>ROUND(E35*P35,5)</f>
        <v>0</v>
      </c>
      <c r="R35" s="155"/>
      <c r="S35" s="155"/>
      <c r="T35" s="156">
        <v>0.05</v>
      </c>
      <c r="U35" s="155">
        <f>ROUND(E35*T35,2)</f>
        <v>27.93</v>
      </c>
      <c r="V35" s="149"/>
      <c r="W35" s="149"/>
      <c r="X35" s="149"/>
      <c r="Y35" s="149"/>
      <c r="Z35" s="149"/>
      <c r="AA35" s="149"/>
      <c r="AB35" s="149"/>
      <c r="AC35" s="149"/>
      <c r="AD35" s="149"/>
      <c r="AE35" s="149" t="s">
        <v>97</v>
      </c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0"/>
      <c r="B36" s="153"/>
      <c r="C36" s="171" t="s">
        <v>164</v>
      </c>
      <c r="D36" s="157"/>
      <c r="E36" s="161">
        <f>72.5+11+73.5+5*68+58.5+3</f>
        <v>558.5</v>
      </c>
      <c r="F36" s="162"/>
      <c r="G36" s="162"/>
      <c r="H36" s="162"/>
      <c r="I36" s="162"/>
      <c r="J36" s="162"/>
      <c r="K36" s="162"/>
      <c r="L36" s="162"/>
      <c r="M36" s="162"/>
      <c r="N36" s="155"/>
      <c r="O36" s="155"/>
      <c r="P36" s="155"/>
      <c r="Q36" s="155"/>
      <c r="R36" s="155"/>
      <c r="S36" s="155"/>
      <c r="T36" s="156"/>
      <c r="U36" s="155"/>
      <c r="V36" s="149"/>
      <c r="W36" s="149"/>
      <c r="X36" s="149"/>
      <c r="Y36" s="149"/>
      <c r="Z36" s="149"/>
      <c r="AA36" s="149"/>
      <c r="AB36" s="149"/>
      <c r="AC36" s="149"/>
      <c r="AD36" s="149"/>
      <c r="AE36" s="149" t="s">
        <v>98</v>
      </c>
      <c r="AF36" s="149">
        <v>0</v>
      </c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0">
        <v>14</v>
      </c>
      <c r="B37" s="153" t="s">
        <v>145</v>
      </c>
      <c r="C37" s="170" t="s">
        <v>129</v>
      </c>
      <c r="D37" s="154" t="s">
        <v>108</v>
      </c>
      <c r="E37" s="160">
        <v>6</v>
      </c>
      <c r="F37" s="197"/>
      <c r="G37" s="162">
        <f>E37*F37</f>
        <v>0</v>
      </c>
      <c r="H37" s="162"/>
      <c r="I37" s="162"/>
      <c r="J37" s="162"/>
      <c r="K37" s="162"/>
      <c r="L37" s="162"/>
      <c r="M37" s="162"/>
      <c r="N37" s="155"/>
      <c r="O37" s="155"/>
      <c r="P37" s="155"/>
      <c r="Q37" s="155"/>
      <c r="R37" s="155"/>
      <c r="S37" s="155"/>
      <c r="T37" s="156"/>
      <c r="U37" s="155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0">
        <v>15</v>
      </c>
      <c r="B38" s="153" t="s">
        <v>154</v>
      </c>
      <c r="C38" s="170" t="s">
        <v>155</v>
      </c>
      <c r="D38" s="154" t="s">
        <v>120</v>
      </c>
      <c r="E38" s="160">
        <v>1</v>
      </c>
      <c r="F38" s="197"/>
      <c r="G38" s="162">
        <f>E38*F38</f>
        <v>0</v>
      </c>
      <c r="H38" s="162"/>
      <c r="I38" s="162"/>
      <c r="J38" s="162"/>
      <c r="K38" s="162"/>
      <c r="L38" s="162"/>
      <c r="M38" s="162"/>
      <c r="N38" s="155"/>
      <c r="O38" s="155"/>
      <c r="P38" s="155"/>
      <c r="Q38" s="155"/>
      <c r="R38" s="155"/>
      <c r="S38" s="155"/>
      <c r="T38" s="156"/>
      <c r="U38" s="155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0">
        <v>16</v>
      </c>
      <c r="B39" s="153" t="s">
        <v>152</v>
      </c>
      <c r="C39" s="170" t="s">
        <v>153</v>
      </c>
      <c r="D39" s="154" t="s">
        <v>96</v>
      </c>
      <c r="E39" s="160">
        <v>7.5359999999999996</v>
      </c>
      <c r="F39" s="197"/>
      <c r="G39" s="162">
        <f>E39*F39</f>
        <v>0</v>
      </c>
      <c r="H39" s="162">
        <v>2113.7800000000002</v>
      </c>
      <c r="I39" s="162">
        <f>ROUND(E39*H39,2)</f>
        <v>15929.45</v>
      </c>
      <c r="J39" s="162">
        <v>251.2199999999998</v>
      </c>
      <c r="K39" s="162">
        <f>ROUND(E39*J39,2)</f>
        <v>1893.19</v>
      </c>
      <c r="L39" s="162">
        <v>15</v>
      </c>
      <c r="M39" s="162">
        <f>G39*(1+L39/100)</f>
        <v>0</v>
      </c>
      <c r="N39" s="155">
        <v>2.5249999999999999</v>
      </c>
      <c r="O39" s="155">
        <f>ROUND(E39*N39,5)</f>
        <v>19.028400000000001</v>
      </c>
      <c r="P39" s="155">
        <v>0</v>
      </c>
      <c r="Q39" s="155">
        <f>ROUND(E39*P39,5)</f>
        <v>0</v>
      </c>
      <c r="R39" s="155"/>
      <c r="S39" s="155"/>
      <c r="T39" s="156">
        <v>0.47699999999999998</v>
      </c>
      <c r="U39" s="155">
        <f>ROUND(E39*T39,2)</f>
        <v>3.59</v>
      </c>
      <c r="V39" s="149"/>
      <c r="W39" s="149"/>
      <c r="X39" s="149"/>
      <c r="Y39" s="149"/>
      <c r="Z39" s="149"/>
      <c r="AA39" s="149"/>
      <c r="AB39" s="149"/>
      <c r="AC39" s="149"/>
      <c r="AD39" s="149"/>
      <c r="AE39" s="149" t="s">
        <v>97</v>
      </c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0"/>
      <c r="B40" s="153"/>
      <c r="C40" s="171" t="s">
        <v>160</v>
      </c>
      <c r="D40" s="157"/>
      <c r="E40" s="161">
        <f>100*3.14*0.2*0.2*0.6</f>
        <v>7.5360000000000014</v>
      </c>
      <c r="F40" s="162"/>
      <c r="G40" s="162"/>
      <c r="H40" s="162"/>
      <c r="I40" s="162"/>
      <c r="J40" s="162"/>
      <c r="K40" s="162"/>
      <c r="L40" s="162"/>
      <c r="M40" s="162"/>
      <c r="N40" s="155"/>
      <c r="O40" s="155"/>
      <c r="P40" s="155"/>
      <c r="Q40" s="155"/>
      <c r="R40" s="155"/>
      <c r="S40" s="155"/>
      <c r="T40" s="156"/>
      <c r="U40" s="155"/>
      <c r="V40" s="149"/>
      <c r="W40" s="149"/>
      <c r="X40" s="149"/>
      <c r="Y40" s="149"/>
      <c r="Z40" s="149"/>
      <c r="AA40" s="149"/>
      <c r="AB40" s="149"/>
      <c r="AC40" s="149"/>
      <c r="AD40" s="149"/>
      <c r="AE40" s="149" t="s">
        <v>98</v>
      </c>
      <c r="AF40" s="149">
        <v>0</v>
      </c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0">
        <v>17</v>
      </c>
      <c r="B41" s="153" t="s">
        <v>142</v>
      </c>
      <c r="C41" s="170" t="s">
        <v>138</v>
      </c>
      <c r="D41" s="154" t="s">
        <v>139</v>
      </c>
      <c r="E41" s="160">
        <v>1</v>
      </c>
      <c r="F41" s="197"/>
      <c r="G41" s="162">
        <f>E41*F41</f>
        <v>0</v>
      </c>
      <c r="H41" s="162"/>
      <c r="I41" s="162"/>
      <c r="J41" s="162"/>
      <c r="K41" s="162"/>
      <c r="L41" s="162"/>
      <c r="M41" s="162"/>
      <c r="N41" s="155"/>
      <c r="O41" s="155"/>
      <c r="P41" s="155"/>
      <c r="Q41" s="155"/>
      <c r="R41" s="155"/>
      <c r="S41" s="155"/>
      <c r="T41" s="156"/>
      <c r="U41" s="155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15" customHeight="1" outlineLevel="1" x14ac:dyDescent="0.2">
      <c r="A42" s="183"/>
      <c r="B42" s="184" t="s">
        <v>125</v>
      </c>
      <c r="C42" s="188" t="s">
        <v>126</v>
      </c>
      <c r="D42" s="185"/>
      <c r="E42" s="186"/>
      <c r="F42" s="186"/>
      <c r="G42" s="187">
        <f>G35+G37+G38+G39+G41</f>
        <v>0</v>
      </c>
      <c r="H42" s="162"/>
      <c r="I42" s="162"/>
      <c r="J42" s="162"/>
      <c r="K42" s="162"/>
      <c r="L42" s="162"/>
      <c r="M42" s="162"/>
      <c r="N42" s="155"/>
      <c r="O42" s="155"/>
      <c r="P42" s="155"/>
      <c r="Q42" s="155"/>
      <c r="R42" s="155"/>
      <c r="S42" s="155"/>
      <c r="T42" s="156"/>
      <c r="U42" s="155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73" t="s">
        <v>94</v>
      </c>
      <c r="B43" s="174" t="s">
        <v>61</v>
      </c>
      <c r="C43" s="175" t="s">
        <v>62</v>
      </c>
      <c r="D43" s="176"/>
      <c r="E43" s="177"/>
      <c r="F43" s="178"/>
      <c r="G43" s="178"/>
      <c r="H43" s="163"/>
      <c r="I43" s="163">
        <f>SUM(I48:I60)</f>
        <v>875996.21</v>
      </c>
      <c r="J43" s="163"/>
      <c r="K43" s="163">
        <f>SUM(K48:K60)</f>
        <v>236972.39</v>
      </c>
      <c r="L43" s="163"/>
      <c r="M43" s="163">
        <f>SUM(M48:M60)</f>
        <v>0</v>
      </c>
      <c r="N43" s="158"/>
      <c r="O43" s="158">
        <f>SUM(O48:O60)</f>
        <v>2676.7036000000003</v>
      </c>
      <c r="P43" s="158"/>
      <c r="Q43" s="158">
        <f>SUM(Q48:Q60)</f>
        <v>0</v>
      </c>
      <c r="R43" s="158"/>
      <c r="S43" s="158"/>
      <c r="T43" s="159"/>
      <c r="U43" s="158">
        <f>SUM(U48:U60)</f>
        <v>682.44</v>
      </c>
      <c r="AE43" t="s">
        <v>95</v>
      </c>
    </row>
    <row r="44" spans="1:60" outlineLevel="1" x14ac:dyDescent="0.2">
      <c r="A44" s="150">
        <v>18</v>
      </c>
      <c r="B44" s="153" t="s">
        <v>182</v>
      </c>
      <c r="C44" s="170" t="s">
        <v>183</v>
      </c>
      <c r="D44" s="154" t="s">
        <v>101</v>
      </c>
      <c r="E44" s="160">
        <v>977.52</v>
      </c>
      <c r="F44" s="197"/>
      <c r="G44" s="162">
        <f>E44*F44</f>
        <v>0</v>
      </c>
      <c r="H44" s="162">
        <v>0.92</v>
      </c>
      <c r="I44" s="162">
        <f>ROUND(E44*H44,2)</f>
        <v>899.32</v>
      </c>
      <c r="J44" s="162">
        <v>15.28</v>
      </c>
      <c r="K44" s="162">
        <f>ROUND(E44*J44,2)</f>
        <v>14936.51</v>
      </c>
      <c r="L44" s="162">
        <v>15</v>
      </c>
      <c r="M44" s="162">
        <f>G44*(1+L44/100)</f>
        <v>0</v>
      </c>
      <c r="N44" s="155">
        <v>0</v>
      </c>
      <c r="O44" s="155">
        <f>ROUND(E44*N44,5)</f>
        <v>0</v>
      </c>
      <c r="P44" s="155">
        <v>0</v>
      </c>
      <c r="Q44" s="155">
        <f>ROUND(E44*P44,5)</f>
        <v>0</v>
      </c>
      <c r="R44" s="155"/>
      <c r="S44" s="155"/>
      <c r="T44" s="156">
        <v>2.9000000000000001E-2</v>
      </c>
      <c r="U44" s="155">
        <f>ROUND(E44*T44,2)</f>
        <v>28.35</v>
      </c>
      <c r="V44" s="149"/>
      <c r="W44" s="149"/>
      <c r="X44" s="149"/>
      <c r="Y44" s="149"/>
      <c r="Z44" s="149"/>
      <c r="AA44" s="149"/>
      <c r="AB44" s="149"/>
      <c r="AC44" s="149"/>
      <c r="AD44" s="149"/>
      <c r="AE44" s="149" t="s">
        <v>97</v>
      </c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50">
        <v>19</v>
      </c>
      <c r="B45" s="193" t="s">
        <v>180</v>
      </c>
      <c r="C45" s="170" t="s">
        <v>178</v>
      </c>
      <c r="D45" s="154" t="s">
        <v>103</v>
      </c>
      <c r="E45" s="160">
        <f>E44*0.44</f>
        <v>430.10879999999997</v>
      </c>
      <c r="F45" s="197"/>
      <c r="G45" s="162">
        <f>E45*F45</f>
        <v>0</v>
      </c>
      <c r="H45" s="198"/>
      <c r="I45" s="198"/>
      <c r="J45" s="198"/>
      <c r="K45" s="198"/>
      <c r="L45" s="198"/>
      <c r="M45" s="198"/>
      <c r="N45" s="199"/>
      <c r="O45" s="199"/>
      <c r="P45" s="199"/>
      <c r="Q45" s="199"/>
      <c r="R45" s="199"/>
      <c r="S45" s="199"/>
      <c r="T45" s="200"/>
      <c r="U45" s="199"/>
    </row>
    <row r="46" spans="1:60" x14ac:dyDescent="0.2">
      <c r="A46" s="150">
        <v>20</v>
      </c>
      <c r="B46" s="153" t="s">
        <v>179</v>
      </c>
      <c r="C46" s="170" t="s">
        <v>171</v>
      </c>
      <c r="D46" s="154" t="s">
        <v>103</v>
      </c>
      <c r="E46" s="160">
        <v>430.10879999999997</v>
      </c>
      <c r="F46" s="197"/>
      <c r="G46" s="162">
        <f>E46*F46</f>
        <v>0</v>
      </c>
      <c r="H46" s="198"/>
      <c r="I46" s="198"/>
      <c r="J46" s="198"/>
      <c r="K46" s="198"/>
      <c r="L46" s="198"/>
      <c r="M46" s="198"/>
      <c r="N46" s="199"/>
      <c r="O46" s="199"/>
      <c r="P46" s="199"/>
      <c r="Q46" s="199"/>
      <c r="R46" s="199"/>
      <c r="S46" s="199"/>
      <c r="T46" s="200"/>
      <c r="U46" s="199"/>
    </row>
    <row r="47" spans="1:60" x14ac:dyDescent="0.2">
      <c r="A47" s="201">
        <v>21</v>
      </c>
      <c r="B47" s="202" t="s">
        <v>142</v>
      </c>
      <c r="C47" s="203" t="s">
        <v>170</v>
      </c>
      <c r="D47" s="204" t="s">
        <v>103</v>
      </c>
      <c r="E47" s="205">
        <v>430.10879999999997</v>
      </c>
      <c r="F47" s="206"/>
      <c r="G47" s="207">
        <f>E47*F47</f>
        <v>0</v>
      </c>
      <c r="H47" s="198"/>
      <c r="I47" s="198"/>
      <c r="J47" s="198"/>
      <c r="K47" s="198"/>
      <c r="L47" s="198"/>
      <c r="M47" s="198"/>
      <c r="N47" s="199"/>
      <c r="O47" s="199"/>
      <c r="P47" s="199"/>
      <c r="Q47" s="199"/>
      <c r="R47" s="199"/>
      <c r="S47" s="199"/>
      <c r="T47" s="200"/>
      <c r="U47" s="199"/>
    </row>
    <row r="48" spans="1:60" ht="22.5" outlineLevel="1" x14ac:dyDescent="0.2">
      <c r="A48" s="150">
        <v>22</v>
      </c>
      <c r="B48" s="153" t="s">
        <v>109</v>
      </c>
      <c r="C48" s="170" t="s">
        <v>110</v>
      </c>
      <c r="D48" s="154" t="s">
        <v>101</v>
      </c>
      <c r="E48" s="160">
        <f>5000+713.9+60</f>
        <v>5773.9</v>
      </c>
      <c r="F48" s="197"/>
      <c r="G48" s="162">
        <f>E48*F48</f>
        <v>0</v>
      </c>
      <c r="H48" s="162">
        <v>0.92</v>
      </c>
      <c r="I48" s="162">
        <f>ROUND(E48*H48,2)</f>
        <v>5311.99</v>
      </c>
      <c r="J48" s="162">
        <v>15.28</v>
      </c>
      <c r="K48" s="162">
        <f>ROUND(E48*J48,2)</f>
        <v>88225.19</v>
      </c>
      <c r="L48" s="162">
        <v>15</v>
      </c>
      <c r="M48" s="162">
        <f>G48*(1+L48/100)</f>
        <v>0</v>
      </c>
      <c r="N48" s="155">
        <v>0</v>
      </c>
      <c r="O48" s="155">
        <f>ROUND(E48*N48,5)</f>
        <v>0</v>
      </c>
      <c r="P48" s="155">
        <v>0</v>
      </c>
      <c r="Q48" s="155">
        <f>ROUND(E48*P48,5)</f>
        <v>0</v>
      </c>
      <c r="R48" s="155"/>
      <c r="S48" s="155"/>
      <c r="T48" s="156">
        <v>2.9000000000000001E-2</v>
      </c>
      <c r="U48" s="155">
        <f>ROUND(E48*T48,2)</f>
        <v>167.44</v>
      </c>
      <c r="V48" s="149"/>
      <c r="W48" s="149"/>
      <c r="X48" s="149"/>
      <c r="Y48" s="149"/>
      <c r="Z48" s="149"/>
      <c r="AA48" s="149"/>
      <c r="AB48" s="149"/>
      <c r="AC48" s="149"/>
      <c r="AD48" s="149"/>
      <c r="AE48" s="149" t="s">
        <v>97</v>
      </c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0"/>
      <c r="B49" s="153"/>
      <c r="C49" s="171" t="s">
        <v>156</v>
      </c>
      <c r="D49" s="157"/>
      <c r="E49" s="161">
        <v>5000</v>
      </c>
      <c r="F49" s="162"/>
      <c r="G49" s="162"/>
      <c r="H49" s="162"/>
      <c r="I49" s="162"/>
      <c r="J49" s="162"/>
      <c r="K49" s="162"/>
      <c r="L49" s="162"/>
      <c r="M49" s="162"/>
      <c r="N49" s="155"/>
      <c r="O49" s="155"/>
      <c r="P49" s="155"/>
      <c r="Q49" s="155"/>
      <c r="R49" s="155"/>
      <c r="S49" s="155"/>
      <c r="T49" s="156"/>
      <c r="U49" s="155"/>
      <c r="V49" s="149"/>
      <c r="W49" s="149"/>
      <c r="X49" s="149"/>
      <c r="Y49" s="149"/>
      <c r="Z49" s="149"/>
      <c r="AA49" s="149"/>
      <c r="AB49" s="149"/>
      <c r="AC49" s="149"/>
      <c r="AD49" s="149"/>
      <c r="AE49" s="149" t="s">
        <v>98</v>
      </c>
      <c r="AF49" s="149">
        <v>0</v>
      </c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0"/>
      <c r="B50" s="153"/>
      <c r="C50" s="171" t="s">
        <v>132</v>
      </c>
      <c r="D50" s="157"/>
      <c r="E50" s="161">
        <v>713.9</v>
      </c>
      <c r="F50" s="162"/>
      <c r="G50" s="162"/>
      <c r="H50" s="162"/>
      <c r="I50" s="162"/>
      <c r="J50" s="162"/>
      <c r="K50" s="162"/>
      <c r="L50" s="162"/>
      <c r="M50" s="162"/>
      <c r="N50" s="155"/>
      <c r="O50" s="155"/>
      <c r="P50" s="155"/>
      <c r="Q50" s="155"/>
      <c r="R50" s="155"/>
      <c r="S50" s="155"/>
      <c r="T50" s="156"/>
      <c r="U50" s="155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0"/>
      <c r="B51" s="153"/>
      <c r="C51" s="171" t="s">
        <v>134</v>
      </c>
      <c r="D51" s="157"/>
      <c r="E51" s="161">
        <v>60</v>
      </c>
      <c r="F51" s="162"/>
      <c r="G51" s="162"/>
      <c r="H51" s="162"/>
      <c r="I51" s="162"/>
      <c r="J51" s="162"/>
      <c r="K51" s="162"/>
      <c r="L51" s="162"/>
      <c r="M51" s="162"/>
      <c r="N51" s="155"/>
      <c r="O51" s="155"/>
      <c r="P51" s="155"/>
      <c r="Q51" s="155"/>
      <c r="R51" s="155"/>
      <c r="S51" s="155"/>
      <c r="T51" s="156"/>
      <c r="U51" s="155"/>
      <c r="V51" s="149"/>
      <c r="W51" s="149"/>
      <c r="X51" s="149"/>
      <c r="Y51" s="149"/>
      <c r="Z51" s="149"/>
      <c r="AA51" s="149"/>
      <c r="AB51" s="149"/>
      <c r="AC51" s="149"/>
      <c r="AD51" s="149"/>
      <c r="AE51" s="149" t="s">
        <v>98</v>
      </c>
      <c r="AF51" s="149">
        <v>0</v>
      </c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0">
        <v>23</v>
      </c>
      <c r="B52" s="153" t="s">
        <v>111</v>
      </c>
      <c r="C52" s="170" t="s">
        <v>192</v>
      </c>
      <c r="D52" s="154" t="s">
        <v>103</v>
      </c>
      <c r="E52" s="160">
        <v>1847.6479999999999</v>
      </c>
      <c r="F52" s="197"/>
      <c r="G52" s="162">
        <f>E52*F52</f>
        <v>0</v>
      </c>
      <c r="H52" s="162">
        <v>263</v>
      </c>
      <c r="I52" s="162">
        <f>ROUND(E52*H52,2)</f>
        <v>485931.42</v>
      </c>
      <c r="J52" s="162">
        <v>0</v>
      </c>
      <c r="K52" s="162">
        <f>ROUND(E52*J52,2)</f>
        <v>0</v>
      </c>
      <c r="L52" s="162">
        <v>15</v>
      </c>
      <c r="M52" s="162">
        <f>G52*(1+L52/100)</f>
        <v>0</v>
      </c>
      <c r="N52" s="155">
        <v>1</v>
      </c>
      <c r="O52" s="155">
        <f>ROUND(E52*N52,5)</f>
        <v>1847.6479999999999</v>
      </c>
      <c r="P52" s="155">
        <v>0</v>
      </c>
      <c r="Q52" s="155">
        <f>ROUND(E52*P52,5)</f>
        <v>0</v>
      </c>
      <c r="R52" s="155"/>
      <c r="S52" s="155"/>
      <c r="T52" s="156">
        <v>0</v>
      </c>
      <c r="U52" s="155">
        <f>ROUND(E52*T52,2)</f>
        <v>0</v>
      </c>
      <c r="V52" s="149"/>
      <c r="W52" s="149"/>
      <c r="X52" s="149"/>
      <c r="Y52" s="149"/>
      <c r="Z52" s="149"/>
      <c r="AA52" s="149"/>
      <c r="AB52" s="149"/>
      <c r="AC52" s="149"/>
      <c r="AD52" s="149"/>
      <c r="AE52" s="149" t="s">
        <v>112</v>
      </c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0"/>
      <c r="B53" s="153"/>
      <c r="C53" s="171" t="s">
        <v>157</v>
      </c>
      <c r="D53" s="157"/>
      <c r="E53" s="161">
        <f>5773.9*0.2*1.6</f>
        <v>1847.6480000000001</v>
      </c>
      <c r="F53" s="162"/>
      <c r="G53" s="162"/>
      <c r="H53" s="162"/>
      <c r="I53" s="162"/>
      <c r="J53" s="162"/>
      <c r="K53" s="162"/>
      <c r="L53" s="162"/>
      <c r="M53" s="162"/>
      <c r="N53" s="155"/>
      <c r="O53" s="155"/>
      <c r="P53" s="155"/>
      <c r="Q53" s="155"/>
      <c r="R53" s="155"/>
      <c r="S53" s="155"/>
      <c r="T53" s="156"/>
      <c r="U53" s="155"/>
      <c r="V53" s="149"/>
      <c r="W53" s="149"/>
      <c r="X53" s="149"/>
      <c r="Y53" s="149"/>
      <c r="Z53" s="149"/>
      <c r="AA53" s="149"/>
      <c r="AB53" s="149"/>
      <c r="AC53" s="149"/>
      <c r="AD53" s="149"/>
      <c r="AE53" s="149" t="s">
        <v>98</v>
      </c>
      <c r="AF53" s="149">
        <v>0</v>
      </c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50">
        <v>24</v>
      </c>
      <c r="B54" s="153" t="s">
        <v>189</v>
      </c>
      <c r="C54" s="170" t="s">
        <v>190</v>
      </c>
      <c r="D54" s="154" t="s">
        <v>101</v>
      </c>
      <c r="E54" s="160">
        <v>5000</v>
      </c>
      <c r="F54" s="197"/>
      <c r="G54" s="162">
        <f>E54*F54</f>
        <v>0</v>
      </c>
      <c r="H54" s="162">
        <v>0.92</v>
      </c>
      <c r="I54" s="162">
        <f>ROUND(E54*H54,2)</f>
        <v>4600</v>
      </c>
      <c r="J54" s="162">
        <v>15.28</v>
      </c>
      <c r="K54" s="162">
        <f>ROUND(E54*J54,2)</f>
        <v>76400</v>
      </c>
      <c r="L54" s="162">
        <v>15</v>
      </c>
      <c r="M54" s="162">
        <f>G54*(1+L54/100)</f>
        <v>0</v>
      </c>
      <c r="N54" s="155">
        <v>0</v>
      </c>
      <c r="O54" s="155">
        <f>ROUND(E54*N54,5)</f>
        <v>0</v>
      </c>
      <c r="P54" s="155">
        <v>0</v>
      </c>
      <c r="Q54" s="155">
        <f>ROUND(E54*P54,5)</f>
        <v>0</v>
      </c>
      <c r="R54" s="155"/>
      <c r="S54" s="155"/>
      <c r="T54" s="156">
        <v>2.9000000000000001E-2</v>
      </c>
      <c r="U54" s="155">
        <f>ROUND(E54*T54,2)</f>
        <v>145</v>
      </c>
      <c r="V54" s="149"/>
      <c r="W54" s="149"/>
      <c r="X54" s="149"/>
      <c r="Y54" s="149"/>
      <c r="Z54" s="149"/>
      <c r="AA54" s="149"/>
      <c r="AB54" s="149"/>
      <c r="AC54" s="149"/>
      <c r="AD54" s="149"/>
      <c r="AE54" s="149" t="s">
        <v>97</v>
      </c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0"/>
      <c r="B55" s="153"/>
      <c r="C55" s="171" t="s">
        <v>156</v>
      </c>
      <c r="D55" s="157"/>
      <c r="E55" s="161">
        <v>5000</v>
      </c>
      <c r="F55" s="162"/>
      <c r="G55" s="162"/>
      <c r="H55" s="162"/>
      <c r="I55" s="162"/>
      <c r="J55" s="162"/>
      <c r="K55" s="162"/>
      <c r="L55" s="162"/>
      <c r="M55" s="162"/>
      <c r="N55" s="155"/>
      <c r="O55" s="155"/>
      <c r="P55" s="155"/>
      <c r="Q55" s="155"/>
      <c r="R55" s="155"/>
      <c r="S55" s="155"/>
      <c r="T55" s="156"/>
      <c r="U55" s="155"/>
      <c r="V55" s="149"/>
      <c r="W55" s="149"/>
      <c r="X55" s="149"/>
      <c r="Y55" s="149"/>
      <c r="Z55" s="149"/>
      <c r="AA55" s="149"/>
      <c r="AB55" s="149"/>
      <c r="AC55" s="149"/>
      <c r="AD55" s="149"/>
      <c r="AE55" s="149" t="s">
        <v>98</v>
      </c>
      <c r="AF55" s="149">
        <v>0</v>
      </c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0">
        <v>25</v>
      </c>
      <c r="B56" s="153" t="s">
        <v>111</v>
      </c>
      <c r="C56" s="170" t="s">
        <v>193</v>
      </c>
      <c r="D56" s="154" t="s">
        <v>103</v>
      </c>
      <c r="E56" s="160">
        <v>800</v>
      </c>
      <c r="F56" s="197"/>
      <c r="G56" s="162">
        <f>E56*F56</f>
        <v>0</v>
      </c>
      <c r="H56" s="162">
        <v>263</v>
      </c>
      <c r="I56" s="162">
        <f>ROUND(E56*H56,2)</f>
        <v>210400</v>
      </c>
      <c r="J56" s="162">
        <v>0</v>
      </c>
      <c r="K56" s="162">
        <f>ROUND(E56*J56,2)</f>
        <v>0</v>
      </c>
      <c r="L56" s="162">
        <v>15</v>
      </c>
      <c r="M56" s="162">
        <f>G56*(1+L56/100)</f>
        <v>0</v>
      </c>
      <c r="N56" s="155">
        <v>1</v>
      </c>
      <c r="O56" s="155">
        <f>ROUND(E56*N56,5)</f>
        <v>800</v>
      </c>
      <c r="P56" s="155">
        <v>0</v>
      </c>
      <c r="Q56" s="155">
        <f>ROUND(E56*P56,5)</f>
        <v>0</v>
      </c>
      <c r="R56" s="155"/>
      <c r="S56" s="155"/>
      <c r="T56" s="156">
        <v>0</v>
      </c>
      <c r="U56" s="155">
        <f>ROUND(E56*T56,2)</f>
        <v>0</v>
      </c>
      <c r="V56" s="149"/>
      <c r="W56" s="149"/>
      <c r="X56" s="149"/>
      <c r="Y56" s="149"/>
      <c r="Z56" s="149"/>
      <c r="AA56" s="149"/>
      <c r="AB56" s="149"/>
      <c r="AC56" s="149"/>
      <c r="AD56" s="149"/>
      <c r="AE56" s="149" t="s">
        <v>112</v>
      </c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0"/>
      <c r="B57" s="153"/>
      <c r="C57" s="171" t="s">
        <v>191</v>
      </c>
      <c r="D57" s="157"/>
      <c r="E57" s="161">
        <v>800</v>
      </c>
      <c r="F57" s="162"/>
      <c r="G57" s="162"/>
      <c r="H57" s="162"/>
      <c r="I57" s="162"/>
      <c r="J57" s="162"/>
      <c r="K57" s="162"/>
      <c r="L57" s="162"/>
      <c r="M57" s="162"/>
      <c r="N57" s="155"/>
      <c r="O57" s="155"/>
      <c r="P57" s="155"/>
      <c r="Q57" s="155"/>
      <c r="R57" s="155"/>
      <c r="S57" s="155"/>
      <c r="T57" s="156"/>
      <c r="U57" s="155"/>
      <c r="V57" s="149"/>
      <c r="W57" s="149"/>
      <c r="X57" s="149"/>
      <c r="Y57" s="149"/>
      <c r="Z57" s="149"/>
      <c r="AA57" s="149"/>
      <c r="AB57" s="149"/>
      <c r="AC57" s="149"/>
      <c r="AD57" s="149"/>
      <c r="AE57" s="149" t="s">
        <v>98</v>
      </c>
      <c r="AF57" s="149">
        <v>0</v>
      </c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0">
        <v>26</v>
      </c>
      <c r="B58" s="153" t="s">
        <v>113</v>
      </c>
      <c r="C58" s="170" t="s">
        <v>114</v>
      </c>
      <c r="D58" s="154" t="s">
        <v>101</v>
      </c>
      <c r="E58" s="160">
        <v>60</v>
      </c>
      <c r="F58" s="197"/>
      <c r="G58" s="162">
        <f t="shared" ref="G58:G60" si="1">E58*F58</f>
        <v>0</v>
      </c>
      <c r="H58" s="162">
        <v>945.88</v>
      </c>
      <c r="I58" s="162">
        <f>ROUND(E58*H58,2)</f>
        <v>56752.800000000003</v>
      </c>
      <c r="J58" s="162">
        <v>164.12</v>
      </c>
      <c r="K58" s="162">
        <f>ROUND(E58*J58,2)</f>
        <v>9847.2000000000007</v>
      </c>
      <c r="L58" s="162">
        <v>15</v>
      </c>
      <c r="M58" s="162">
        <f>G58*(1+L58/100)</f>
        <v>0</v>
      </c>
      <c r="N58" s="155">
        <v>0.45926</v>
      </c>
      <c r="O58" s="155">
        <f>ROUND(E58*N58,5)</f>
        <v>27.555599999999998</v>
      </c>
      <c r="P58" s="155">
        <v>0</v>
      </c>
      <c r="Q58" s="155">
        <f>ROUND(E58*P58,5)</f>
        <v>0</v>
      </c>
      <c r="R58" s="155"/>
      <c r="S58" s="155"/>
      <c r="T58" s="156">
        <v>0.25</v>
      </c>
      <c r="U58" s="155">
        <f>ROUND(E58*T58,2)</f>
        <v>15</v>
      </c>
      <c r="V58" s="149"/>
      <c r="W58" s="149"/>
      <c r="X58" s="149"/>
      <c r="Y58" s="149"/>
      <c r="Z58" s="149"/>
      <c r="AA58" s="149"/>
      <c r="AB58" s="149"/>
      <c r="AC58" s="149"/>
      <c r="AD58" s="149"/>
      <c r="AE58" s="149" t="s">
        <v>97</v>
      </c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0">
        <v>27</v>
      </c>
      <c r="B59" s="153" t="s">
        <v>115</v>
      </c>
      <c r="C59" s="170" t="s">
        <v>116</v>
      </c>
      <c r="D59" s="154" t="s">
        <v>101</v>
      </c>
      <c r="E59" s="160">
        <v>5000</v>
      </c>
      <c r="F59" s="197"/>
      <c r="G59" s="162">
        <f t="shared" si="1"/>
        <v>0</v>
      </c>
      <c r="H59" s="162">
        <v>0</v>
      </c>
      <c r="I59" s="162">
        <f>ROUND(E59*H59,2)</f>
        <v>0</v>
      </c>
      <c r="J59" s="162">
        <v>12.5</v>
      </c>
      <c r="K59" s="162">
        <f>ROUND(E59*J59,2)</f>
        <v>62500</v>
      </c>
      <c r="L59" s="162">
        <v>15</v>
      </c>
      <c r="M59" s="162">
        <f>G59*(1+L59/100)</f>
        <v>0</v>
      </c>
      <c r="N59" s="155">
        <v>0</v>
      </c>
      <c r="O59" s="155">
        <f>ROUND(E59*N59,5)</f>
        <v>0</v>
      </c>
      <c r="P59" s="155">
        <v>0</v>
      </c>
      <c r="Q59" s="155">
        <f>ROUND(E59*P59,5)</f>
        <v>0</v>
      </c>
      <c r="R59" s="155"/>
      <c r="S59" s="155"/>
      <c r="T59" s="156">
        <v>7.0999999999999994E-2</v>
      </c>
      <c r="U59" s="155">
        <f>ROUND(E59*T59,2)</f>
        <v>355</v>
      </c>
      <c r="V59" s="149"/>
      <c r="W59" s="149"/>
      <c r="X59" s="149"/>
      <c r="Y59" s="149"/>
      <c r="Z59" s="149"/>
      <c r="AA59" s="149"/>
      <c r="AB59" s="149"/>
      <c r="AC59" s="149"/>
      <c r="AD59" s="149"/>
      <c r="AE59" s="149" t="s">
        <v>97</v>
      </c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0">
        <v>28</v>
      </c>
      <c r="B60" s="153" t="s">
        <v>117</v>
      </c>
      <c r="C60" s="170" t="s">
        <v>196</v>
      </c>
      <c r="D60" s="154" t="s">
        <v>101</v>
      </c>
      <c r="E60" s="160">
        <v>5000</v>
      </c>
      <c r="F60" s="197"/>
      <c r="G60" s="162">
        <f t="shared" si="1"/>
        <v>0</v>
      </c>
      <c r="H60" s="162">
        <v>22.6</v>
      </c>
      <c r="I60" s="162">
        <f>ROUND(E60*H60,2)</f>
        <v>113000</v>
      </c>
      <c r="J60" s="162">
        <v>0</v>
      </c>
      <c r="K60" s="162">
        <f>ROUND(E60*J60,2)</f>
        <v>0</v>
      </c>
      <c r="L60" s="162">
        <v>15</v>
      </c>
      <c r="M60" s="162">
        <f>G60*(1+L60/100)</f>
        <v>0</v>
      </c>
      <c r="N60" s="155">
        <v>2.9999999999999997E-4</v>
      </c>
      <c r="O60" s="155">
        <f>ROUND(E60*N60,5)</f>
        <v>1.5</v>
      </c>
      <c r="P60" s="155">
        <v>0</v>
      </c>
      <c r="Q60" s="155">
        <f>ROUND(E60*P60,5)</f>
        <v>0</v>
      </c>
      <c r="R60" s="155"/>
      <c r="S60" s="155"/>
      <c r="T60" s="156">
        <v>0</v>
      </c>
      <c r="U60" s="155">
        <f>ROUND(E60*T60,2)</f>
        <v>0</v>
      </c>
      <c r="V60" s="149"/>
      <c r="W60" s="149"/>
      <c r="X60" s="149"/>
      <c r="Y60" s="149"/>
      <c r="Z60" s="149"/>
      <c r="AA60" s="149"/>
      <c r="AB60" s="149"/>
      <c r="AC60" s="149"/>
      <c r="AD60" s="149"/>
      <c r="AE60" s="149" t="s">
        <v>112</v>
      </c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15" customHeight="1" outlineLevel="1" x14ac:dyDescent="0.2">
      <c r="A61" s="183"/>
      <c r="B61" s="184" t="s">
        <v>125</v>
      </c>
      <c r="C61" s="188" t="s">
        <v>62</v>
      </c>
      <c r="D61" s="185"/>
      <c r="E61" s="186"/>
      <c r="F61" s="186"/>
      <c r="G61" s="187">
        <f>G44+G45+G46+G47+G48+G52+G54+G56+G58+G59+G60</f>
        <v>0</v>
      </c>
      <c r="H61" s="162"/>
      <c r="I61" s="162"/>
      <c r="J61" s="162"/>
      <c r="K61" s="162"/>
      <c r="L61" s="162"/>
      <c r="M61" s="162"/>
      <c r="N61" s="155"/>
      <c r="O61" s="155"/>
      <c r="P61" s="155"/>
      <c r="Q61" s="155"/>
      <c r="R61" s="155"/>
      <c r="S61" s="155"/>
      <c r="T61" s="156"/>
      <c r="U61" s="155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73" t="s">
        <v>94</v>
      </c>
      <c r="B62" s="174" t="s">
        <v>63</v>
      </c>
      <c r="C62" s="175" t="s">
        <v>64</v>
      </c>
      <c r="D62" s="176"/>
      <c r="E62" s="177"/>
      <c r="F62" s="178"/>
      <c r="G62" s="178"/>
      <c r="H62" s="163"/>
      <c r="I62" s="163">
        <f>SUM(I63:I68)</f>
        <v>0</v>
      </c>
      <c r="J62" s="163"/>
      <c r="K62" s="163">
        <f>SUM(K63:K68)</f>
        <v>175759.35999999999</v>
      </c>
      <c r="L62" s="163"/>
      <c r="M62" s="163">
        <f>SUM(M63:M68)</f>
        <v>0</v>
      </c>
      <c r="N62" s="158"/>
      <c r="O62" s="158">
        <f>SUM(O63:O68)</f>
        <v>0</v>
      </c>
      <c r="P62" s="158"/>
      <c r="Q62" s="158">
        <f>SUM(Q63:Q68)</f>
        <v>0</v>
      </c>
      <c r="R62" s="158"/>
      <c r="S62" s="158"/>
      <c r="T62" s="159"/>
      <c r="U62" s="158">
        <f>SUM(U63:U68)</f>
        <v>0</v>
      </c>
      <c r="AE62" t="s">
        <v>95</v>
      </c>
    </row>
    <row r="63" spans="1:60" ht="22.5" outlineLevel="1" x14ac:dyDescent="0.2">
      <c r="A63" s="150">
        <v>29</v>
      </c>
      <c r="B63" s="153" t="s">
        <v>142</v>
      </c>
      <c r="C63" s="170" t="s">
        <v>118</v>
      </c>
      <c r="D63" s="154" t="s">
        <v>102</v>
      </c>
      <c r="E63" s="160">
        <v>1451.6</v>
      </c>
      <c r="F63" s="197"/>
      <c r="G63" s="162">
        <f>E63*F63</f>
        <v>0</v>
      </c>
      <c r="H63" s="162">
        <v>0</v>
      </c>
      <c r="I63" s="162">
        <f>ROUND(E63*H63,2)</f>
        <v>0</v>
      </c>
      <c r="J63" s="162">
        <v>68</v>
      </c>
      <c r="K63" s="162">
        <f>ROUND(E63*J63,2)</f>
        <v>98708.800000000003</v>
      </c>
      <c r="L63" s="162">
        <v>15</v>
      </c>
      <c r="M63" s="162">
        <f>G63*(1+L63/100)</f>
        <v>0</v>
      </c>
      <c r="N63" s="155">
        <v>0</v>
      </c>
      <c r="O63" s="155">
        <f>ROUND(E63*N63,5)</f>
        <v>0</v>
      </c>
      <c r="P63" s="155">
        <v>0</v>
      </c>
      <c r="Q63" s="155">
        <f>ROUND(E63*P63,5)</f>
        <v>0</v>
      </c>
      <c r="R63" s="155"/>
      <c r="S63" s="155"/>
      <c r="T63" s="156">
        <v>0</v>
      </c>
      <c r="U63" s="155">
        <f>ROUND(E63*T63,2)</f>
        <v>0</v>
      </c>
      <c r="V63" s="149"/>
      <c r="W63" s="149"/>
      <c r="X63" s="149"/>
      <c r="Y63" s="149"/>
      <c r="Z63" s="149"/>
      <c r="AA63" s="149"/>
      <c r="AB63" s="149"/>
      <c r="AC63" s="149"/>
      <c r="AD63" s="149"/>
      <c r="AE63" s="149" t="s">
        <v>97</v>
      </c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0"/>
      <c r="B64" s="153"/>
      <c r="C64" s="171" t="s">
        <v>161</v>
      </c>
      <c r="D64" s="157"/>
      <c r="E64" s="161">
        <f>100*1.9*7.64</f>
        <v>1451.6</v>
      </c>
      <c r="F64" s="162"/>
      <c r="G64" s="162"/>
      <c r="H64" s="162"/>
      <c r="I64" s="162"/>
      <c r="J64" s="162"/>
      <c r="K64" s="162"/>
      <c r="L64" s="162"/>
      <c r="M64" s="162"/>
      <c r="N64" s="155"/>
      <c r="O64" s="155"/>
      <c r="P64" s="155"/>
      <c r="Q64" s="155"/>
      <c r="R64" s="155"/>
      <c r="S64" s="155"/>
      <c r="T64" s="156"/>
      <c r="U64" s="155"/>
      <c r="V64" s="149"/>
      <c r="W64" s="149"/>
      <c r="X64" s="149"/>
      <c r="Y64" s="149"/>
      <c r="Z64" s="149"/>
      <c r="AA64" s="149"/>
      <c r="AB64" s="149"/>
      <c r="AC64" s="149"/>
      <c r="AD64" s="149"/>
      <c r="AE64" s="149" t="s">
        <v>98</v>
      </c>
      <c r="AF64" s="149">
        <v>0</v>
      </c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12.75" customHeight="1" outlineLevel="1" x14ac:dyDescent="0.2">
      <c r="A65" s="150">
        <v>30</v>
      </c>
      <c r="B65" s="153" t="s">
        <v>151</v>
      </c>
      <c r="C65" s="170" t="s">
        <v>119</v>
      </c>
      <c r="D65" s="154" t="s">
        <v>108</v>
      </c>
      <c r="E65" s="160">
        <v>242.5</v>
      </c>
      <c r="F65" s="197"/>
      <c r="G65" s="162">
        <f t="shared" ref="G65:G66" si="2">E65*F65</f>
        <v>0</v>
      </c>
      <c r="H65" s="162">
        <v>0</v>
      </c>
      <c r="I65" s="162">
        <f>ROUND(E65*H65,2)</f>
        <v>0</v>
      </c>
      <c r="J65" s="162">
        <v>86</v>
      </c>
      <c r="K65" s="162">
        <f>ROUND(E65*J65,2)</f>
        <v>20855</v>
      </c>
      <c r="L65" s="162">
        <v>15</v>
      </c>
      <c r="M65" s="162">
        <f>G65*(1+L65/100)</f>
        <v>0</v>
      </c>
      <c r="N65" s="155">
        <v>0</v>
      </c>
      <c r="O65" s="155">
        <f>ROUND(E65*N65,5)</f>
        <v>0</v>
      </c>
      <c r="P65" s="155">
        <v>0</v>
      </c>
      <c r="Q65" s="155">
        <f>ROUND(E65*P65,5)</f>
        <v>0</v>
      </c>
      <c r="R65" s="155"/>
      <c r="S65" s="155"/>
      <c r="T65" s="156">
        <v>0</v>
      </c>
      <c r="U65" s="155">
        <f>ROUND(E65*T65,2)</f>
        <v>0</v>
      </c>
      <c r="V65" s="149"/>
      <c r="W65" s="149"/>
      <c r="X65" s="149"/>
      <c r="Y65" s="149"/>
      <c r="Z65" s="149"/>
      <c r="AA65" s="149"/>
      <c r="AB65" s="149"/>
      <c r="AC65" s="149"/>
      <c r="AD65" s="149"/>
      <c r="AE65" s="149" t="s">
        <v>97</v>
      </c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12.75" customHeight="1" outlineLevel="1" x14ac:dyDescent="0.2">
      <c r="A66" s="150">
        <v>31</v>
      </c>
      <c r="B66" s="153" t="s">
        <v>142</v>
      </c>
      <c r="C66" s="170" t="s">
        <v>135</v>
      </c>
      <c r="D66" s="154" t="s">
        <v>102</v>
      </c>
      <c r="E66" s="160">
        <f>911.8+258.9408</f>
        <v>1170.7408</v>
      </c>
      <c r="F66" s="197"/>
      <c r="G66" s="162">
        <f t="shared" si="2"/>
        <v>0</v>
      </c>
      <c r="H66" s="162">
        <v>0</v>
      </c>
      <c r="I66" s="162">
        <f>ROUND(E66*H66,2)</f>
        <v>0</v>
      </c>
      <c r="J66" s="162">
        <v>48</v>
      </c>
      <c r="K66" s="162">
        <f>ROUND(E66*J66,2)</f>
        <v>56195.56</v>
      </c>
      <c r="L66" s="162">
        <v>15</v>
      </c>
      <c r="M66" s="162">
        <f>G66*(1+L66/100)</f>
        <v>0</v>
      </c>
      <c r="N66" s="155">
        <v>0</v>
      </c>
      <c r="O66" s="155">
        <f>ROUND(E66*N66,5)</f>
        <v>0</v>
      </c>
      <c r="P66" s="155">
        <v>0</v>
      </c>
      <c r="Q66" s="155">
        <f>ROUND(E66*P66,5)</f>
        <v>0</v>
      </c>
      <c r="R66" s="155"/>
      <c r="S66" s="155"/>
      <c r="T66" s="156">
        <v>0</v>
      </c>
      <c r="U66" s="155">
        <f>ROUND(E66*T66,2)</f>
        <v>0</v>
      </c>
      <c r="V66" s="149"/>
      <c r="W66" s="149"/>
      <c r="X66" s="149"/>
      <c r="Y66" s="149"/>
      <c r="Z66" s="149"/>
      <c r="AA66" s="149"/>
      <c r="AB66" s="149"/>
      <c r="AC66" s="149"/>
      <c r="AD66" s="149"/>
      <c r="AE66" s="149" t="s">
        <v>97</v>
      </c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12.75" customHeight="1" outlineLevel="1" x14ac:dyDescent="0.2">
      <c r="A67" s="150"/>
      <c r="B67" s="153"/>
      <c r="C67" s="171" t="s">
        <v>162</v>
      </c>
      <c r="D67" s="157"/>
      <c r="E67" s="161">
        <f>2*242.5*1.88</f>
        <v>911.8</v>
      </c>
      <c r="F67" s="162"/>
      <c r="G67" s="162"/>
      <c r="H67" s="162"/>
      <c r="I67" s="162"/>
      <c r="J67" s="162"/>
      <c r="K67" s="162"/>
      <c r="L67" s="162"/>
      <c r="M67" s="162"/>
      <c r="N67" s="155"/>
      <c r="O67" s="155"/>
      <c r="P67" s="155"/>
      <c r="Q67" s="155"/>
      <c r="R67" s="155"/>
      <c r="S67" s="155"/>
      <c r="T67" s="156"/>
      <c r="U67" s="155"/>
      <c r="V67" s="149"/>
      <c r="W67" s="149"/>
      <c r="X67" s="149"/>
      <c r="Y67" s="149"/>
      <c r="Z67" s="149"/>
      <c r="AA67" s="149"/>
      <c r="AB67" s="149"/>
      <c r="AC67" s="149"/>
      <c r="AD67" s="149"/>
      <c r="AE67" s="149" t="s">
        <v>98</v>
      </c>
      <c r="AF67" s="149">
        <v>0</v>
      </c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12.75" customHeight="1" outlineLevel="1" x14ac:dyDescent="0.2">
      <c r="A68" s="150"/>
      <c r="B68" s="153"/>
      <c r="C68" s="171" t="s">
        <v>163</v>
      </c>
      <c r="D68" s="157"/>
      <c r="E68" s="161">
        <f>2*243*0.6*0.888</f>
        <v>258.94079999999997</v>
      </c>
      <c r="F68" s="162"/>
      <c r="G68" s="162"/>
      <c r="H68" s="162"/>
      <c r="I68" s="162"/>
      <c r="J68" s="162"/>
      <c r="K68" s="162"/>
      <c r="L68" s="162"/>
      <c r="M68" s="162"/>
      <c r="N68" s="155"/>
      <c r="O68" s="155"/>
      <c r="P68" s="155"/>
      <c r="Q68" s="155"/>
      <c r="R68" s="155"/>
      <c r="S68" s="155"/>
      <c r="T68" s="156"/>
      <c r="U68" s="155"/>
      <c r="V68" s="149"/>
      <c r="W68" s="149"/>
      <c r="X68" s="149"/>
      <c r="Y68" s="149"/>
      <c r="Z68" s="149"/>
      <c r="AA68" s="149"/>
      <c r="AB68" s="149"/>
      <c r="AC68" s="149"/>
      <c r="AD68" s="149"/>
      <c r="AE68" s="149" t="s">
        <v>98</v>
      </c>
      <c r="AF68" s="149">
        <v>0</v>
      </c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15" customHeight="1" outlineLevel="1" x14ac:dyDescent="0.2">
      <c r="A69" s="183"/>
      <c r="B69" s="184" t="s">
        <v>125</v>
      </c>
      <c r="C69" s="188" t="s">
        <v>64</v>
      </c>
      <c r="D69" s="185"/>
      <c r="E69" s="186"/>
      <c r="F69" s="186"/>
      <c r="G69" s="187">
        <f>G63+G65+G66</f>
        <v>0</v>
      </c>
      <c r="H69" s="162"/>
      <c r="I69" s="162"/>
      <c r="J69" s="162"/>
      <c r="K69" s="162"/>
      <c r="L69" s="162"/>
      <c r="M69" s="162"/>
      <c r="N69" s="155"/>
      <c r="O69" s="155"/>
      <c r="P69" s="155"/>
      <c r="Q69" s="155"/>
      <c r="R69" s="155"/>
      <c r="S69" s="155"/>
      <c r="T69" s="156"/>
      <c r="U69" s="155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73" t="s">
        <v>94</v>
      </c>
      <c r="B70" s="174" t="s">
        <v>65</v>
      </c>
      <c r="C70" s="175" t="s">
        <v>66</v>
      </c>
      <c r="D70" s="176"/>
      <c r="E70" s="177"/>
      <c r="F70" s="178"/>
      <c r="G70" s="178"/>
      <c r="H70" s="163"/>
      <c r="I70" s="163">
        <f>SUM(I71:I75)</f>
        <v>0</v>
      </c>
      <c r="J70" s="163"/>
      <c r="K70" s="163">
        <f>SUM(K71:K75)</f>
        <v>517958</v>
      </c>
      <c r="L70" s="163"/>
      <c r="M70" s="163">
        <f>SUM(M71:M75)</f>
        <v>0</v>
      </c>
      <c r="N70" s="158"/>
      <c r="O70" s="158">
        <f>SUM(O71:O75)</f>
        <v>0</v>
      </c>
      <c r="P70" s="158"/>
      <c r="Q70" s="158">
        <f>SUM(Q71:Q75)</f>
        <v>0</v>
      </c>
      <c r="R70" s="158"/>
      <c r="S70" s="158"/>
      <c r="T70" s="159"/>
      <c r="U70" s="158">
        <f>SUM(U71:U75)</f>
        <v>0</v>
      </c>
      <c r="AE70" t="s">
        <v>95</v>
      </c>
    </row>
    <row r="71" spans="1:60" ht="33.75" outlineLevel="1" x14ac:dyDescent="0.2">
      <c r="A71" s="150">
        <v>32</v>
      </c>
      <c r="B71" s="153" t="s">
        <v>141</v>
      </c>
      <c r="C71" s="170" t="s">
        <v>165</v>
      </c>
      <c r="D71" s="154" t="s">
        <v>120</v>
      </c>
      <c r="E71" s="160">
        <v>1</v>
      </c>
      <c r="F71" s="197"/>
      <c r="G71" s="162">
        <f t="shared" ref="G71:G77" si="3">E71*F71</f>
        <v>0</v>
      </c>
      <c r="H71" s="162">
        <v>0</v>
      </c>
      <c r="I71" s="162">
        <f>ROUND(E71*H71,2)</f>
        <v>0</v>
      </c>
      <c r="J71" s="162">
        <v>206900</v>
      </c>
      <c r="K71" s="162">
        <f>ROUND(E71*J71,2)</f>
        <v>206900</v>
      </c>
      <c r="L71" s="162">
        <v>15</v>
      </c>
      <c r="M71" s="162">
        <f>G71*(1+L71/100)</f>
        <v>0</v>
      </c>
      <c r="N71" s="155">
        <v>0</v>
      </c>
      <c r="O71" s="155">
        <f>ROUND(E71*N71,5)</f>
        <v>0</v>
      </c>
      <c r="P71" s="155">
        <v>0</v>
      </c>
      <c r="Q71" s="155">
        <f>ROUND(E71*P71,5)</f>
        <v>0</v>
      </c>
      <c r="R71" s="155"/>
      <c r="S71" s="155"/>
      <c r="T71" s="156">
        <v>0</v>
      </c>
      <c r="U71" s="155">
        <f>ROUND(E71*T71,2)</f>
        <v>0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 t="s">
        <v>97</v>
      </c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50">
        <v>33</v>
      </c>
      <c r="B72" s="153" t="s">
        <v>141</v>
      </c>
      <c r="C72" s="170" t="s">
        <v>166</v>
      </c>
      <c r="D72" s="154" t="s">
        <v>120</v>
      </c>
      <c r="E72" s="160">
        <v>1</v>
      </c>
      <c r="F72" s="197"/>
      <c r="G72" s="162">
        <f t="shared" si="3"/>
        <v>0</v>
      </c>
      <c r="H72" s="162">
        <v>0</v>
      </c>
      <c r="I72" s="162">
        <f>ROUND(E72*H72,2)</f>
        <v>0</v>
      </c>
      <c r="J72" s="162">
        <v>303790</v>
      </c>
      <c r="K72" s="162">
        <f>ROUND(E72*J72,2)</f>
        <v>303790</v>
      </c>
      <c r="L72" s="162">
        <v>15</v>
      </c>
      <c r="M72" s="162">
        <f>G72*(1+L72/100)</f>
        <v>0</v>
      </c>
      <c r="N72" s="155">
        <v>0</v>
      </c>
      <c r="O72" s="155">
        <f>ROUND(E72*N72,5)</f>
        <v>0</v>
      </c>
      <c r="P72" s="155">
        <v>0</v>
      </c>
      <c r="Q72" s="155">
        <f>ROUND(E72*P72,5)</f>
        <v>0</v>
      </c>
      <c r="R72" s="155"/>
      <c r="S72" s="155"/>
      <c r="T72" s="156">
        <v>0</v>
      </c>
      <c r="U72" s="155">
        <f>ROUND(E72*T72,2)</f>
        <v>0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 t="s">
        <v>97</v>
      </c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50">
        <v>34</v>
      </c>
      <c r="B73" s="153" t="s">
        <v>141</v>
      </c>
      <c r="C73" s="170" t="s">
        <v>121</v>
      </c>
      <c r="D73" s="154" t="s">
        <v>122</v>
      </c>
      <c r="E73" s="160">
        <v>1</v>
      </c>
      <c r="F73" s="197"/>
      <c r="G73" s="162">
        <f t="shared" si="3"/>
        <v>0</v>
      </c>
      <c r="H73" s="162">
        <v>0</v>
      </c>
      <c r="I73" s="162">
        <f>ROUND(E73*H73,2)</f>
        <v>0</v>
      </c>
      <c r="J73" s="162">
        <v>5000</v>
      </c>
      <c r="K73" s="162">
        <f>ROUND(E73*J73,2)</f>
        <v>5000</v>
      </c>
      <c r="L73" s="162">
        <v>15</v>
      </c>
      <c r="M73" s="162">
        <f>G73*(1+L73/100)</f>
        <v>0</v>
      </c>
      <c r="N73" s="155">
        <v>0</v>
      </c>
      <c r="O73" s="155">
        <f>ROUND(E73*N73,5)</f>
        <v>0</v>
      </c>
      <c r="P73" s="155">
        <v>0</v>
      </c>
      <c r="Q73" s="155">
        <f>ROUND(E73*P73,5)</f>
        <v>0</v>
      </c>
      <c r="R73" s="155"/>
      <c r="S73" s="155"/>
      <c r="T73" s="156">
        <v>0</v>
      </c>
      <c r="U73" s="155">
        <f>ROUND(E73*T73,2)</f>
        <v>0</v>
      </c>
      <c r="V73" s="149"/>
      <c r="W73" s="149"/>
      <c r="X73" s="149"/>
      <c r="Y73" s="149"/>
      <c r="Z73" s="149"/>
      <c r="AA73" s="149"/>
      <c r="AB73" s="149"/>
      <c r="AC73" s="149"/>
      <c r="AD73" s="149"/>
      <c r="AE73" s="149" t="s">
        <v>97</v>
      </c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50">
        <v>35</v>
      </c>
      <c r="B74" s="153" t="s">
        <v>141</v>
      </c>
      <c r="C74" s="170" t="s">
        <v>128</v>
      </c>
      <c r="D74" s="154" t="s">
        <v>122</v>
      </c>
      <c r="E74" s="160">
        <v>1</v>
      </c>
      <c r="F74" s="197"/>
      <c r="G74" s="162">
        <f t="shared" si="3"/>
        <v>0</v>
      </c>
      <c r="H74" s="162"/>
      <c r="I74" s="162"/>
      <c r="J74" s="162"/>
      <c r="K74" s="162"/>
      <c r="L74" s="162"/>
      <c r="M74" s="162"/>
      <c r="N74" s="155"/>
      <c r="O74" s="155"/>
      <c r="P74" s="155"/>
      <c r="Q74" s="155"/>
      <c r="R74" s="155"/>
      <c r="S74" s="155"/>
      <c r="T74" s="156"/>
      <c r="U74" s="155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50">
        <v>36</v>
      </c>
      <c r="B75" s="153" t="s">
        <v>143</v>
      </c>
      <c r="C75" s="170" t="s">
        <v>140</v>
      </c>
      <c r="D75" s="154" t="s">
        <v>108</v>
      </c>
      <c r="E75" s="160">
        <v>3</v>
      </c>
      <c r="F75" s="197"/>
      <c r="G75" s="162">
        <f t="shared" si="3"/>
        <v>0</v>
      </c>
      <c r="H75" s="162">
        <v>0</v>
      </c>
      <c r="I75" s="162">
        <f>ROUND(E75*H75,2)</f>
        <v>0</v>
      </c>
      <c r="J75" s="162">
        <v>756</v>
      </c>
      <c r="K75" s="162">
        <f>ROUND(E75*J75,2)</f>
        <v>2268</v>
      </c>
      <c r="L75" s="162">
        <v>15</v>
      </c>
      <c r="M75" s="162">
        <f>G75*(1+L75/100)</f>
        <v>0</v>
      </c>
      <c r="N75" s="155">
        <v>0</v>
      </c>
      <c r="O75" s="155">
        <f>ROUND(E75*N75,5)</f>
        <v>0</v>
      </c>
      <c r="P75" s="155">
        <v>0</v>
      </c>
      <c r="Q75" s="155">
        <f>ROUND(E75*P75,5)</f>
        <v>0</v>
      </c>
      <c r="R75" s="155"/>
      <c r="S75" s="155"/>
      <c r="T75" s="156">
        <v>0</v>
      </c>
      <c r="U75" s="155">
        <f>ROUND(E75*T75,2)</f>
        <v>0</v>
      </c>
      <c r="V75" s="149"/>
      <c r="W75" s="149"/>
      <c r="X75" s="149"/>
      <c r="Y75" s="149"/>
      <c r="Z75" s="149"/>
      <c r="AA75" s="149"/>
      <c r="AB75" s="149"/>
      <c r="AC75" s="149"/>
      <c r="AD75" s="149"/>
      <c r="AE75" s="149" t="s">
        <v>97</v>
      </c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50">
        <v>37</v>
      </c>
      <c r="B76" s="193">
        <v>210100020</v>
      </c>
      <c r="C76" s="170" t="s">
        <v>130</v>
      </c>
      <c r="D76" s="154" t="s">
        <v>108</v>
      </c>
      <c r="E76" s="160">
        <v>100</v>
      </c>
      <c r="F76" s="197"/>
      <c r="G76" s="162">
        <f t="shared" si="3"/>
        <v>0</v>
      </c>
      <c r="H76" s="162"/>
      <c r="I76" s="162"/>
      <c r="J76" s="162"/>
      <c r="K76" s="162"/>
      <c r="L76" s="162"/>
      <c r="M76" s="162"/>
      <c r="N76" s="155"/>
      <c r="O76" s="155"/>
      <c r="P76" s="155"/>
      <c r="Q76" s="155"/>
      <c r="R76" s="155"/>
      <c r="S76" s="155"/>
      <c r="T76" s="156"/>
      <c r="U76" s="155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50">
        <v>38</v>
      </c>
      <c r="B77" s="153" t="s">
        <v>144</v>
      </c>
      <c r="C77" s="170" t="s">
        <v>131</v>
      </c>
      <c r="D77" s="154" t="s">
        <v>108</v>
      </c>
      <c r="E77" s="160">
        <v>30</v>
      </c>
      <c r="F77" s="197"/>
      <c r="G77" s="162">
        <f t="shared" si="3"/>
        <v>0</v>
      </c>
      <c r="H77" s="162"/>
      <c r="I77" s="162"/>
      <c r="J77" s="162"/>
      <c r="K77" s="162"/>
      <c r="L77" s="162"/>
      <c r="M77" s="162"/>
      <c r="N77" s="155"/>
      <c r="O77" s="155"/>
      <c r="P77" s="155"/>
      <c r="Q77" s="155"/>
      <c r="R77" s="155"/>
      <c r="S77" s="155"/>
      <c r="T77" s="156"/>
      <c r="U77" s="155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15" customHeight="1" outlineLevel="1" x14ac:dyDescent="0.2">
      <c r="A78" s="183"/>
      <c r="B78" s="184" t="s">
        <v>125</v>
      </c>
      <c r="C78" s="188" t="s">
        <v>66</v>
      </c>
      <c r="D78" s="185"/>
      <c r="E78" s="186"/>
      <c r="F78" s="186"/>
      <c r="G78" s="187">
        <f>SUM(G71:G77)</f>
        <v>0</v>
      </c>
      <c r="H78" s="162"/>
      <c r="I78" s="162"/>
      <c r="J78" s="162"/>
      <c r="K78" s="162"/>
      <c r="L78" s="162"/>
      <c r="M78" s="162"/>
      <c r="N78" s="155"/>
      <c r="O78" s="155"/>
      <c r="P78" s="155"/>
      <c r="Q78" s="155"/>
      <c r="R78" s="155"/>
      <c r="S78" s="155"/>
      <c r="T78" s="156"/>
      <c r="U78" s="155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73" t="s">
        <v>94</v>
      </c>
      <c r="B79" s="174" t="s">
        <v>67</v>
      </c>
      <c r="C79" s="175" t="s">
        <v>26</v>
      </c>
      <c r="D79" s="176"/>
      <c r="E79" s="177"/>
      <c r="F79" s="178"/>
      <c r="G79" s="178"/>
      <c r="H79" s="163"/>
      <c r="I79" s="163">
        <f>SUM(I80:I80)</f>
        <v>0</v>
      </c>
      <c r="J79" s="163"/>
      <c r="K79" s="163">
        <f>SUM(K80:K80)</f>
        <v>43692</v>
      </c>
      <c r="L79" s="163"/>
      <c r="M79" s="163">
        <f>SUM(M80:M80)</f>
        <v>0</v>
      </c>
      <c r="N79" s="158"/>
      <c r="O79" s="158">
        <f>SUM(O80:O80)</f>
        <v>0</v>
      </c>
      <c r="P79" s="158"/>
      <c r="Q79" s="158">
        <f>SUM(Q80:Q80)</f>
        <v>0</v>
      </c>
      <c r="R79" s="158"/>
      <c r="S79" s="158"/>
      <c r="T79" s="159"/>
      <c r="U79" s="158">
        <f>SUM(U80:U80)</f>
        <v>0</v>
      </c>
      <c r="AE79" t="s">
        <v>95</v>
      </c>
    </row>
    <row r="80" spans="1:60" outlineLevel="1" x14ac:dyDescent="0.2">
      <c r="A80" s="150">
        <v>39</v>
      </c>
      <c r="B80" s="153" t="s">
        <v>142</v>
      </c>
      <c r="C80" s="170" t="s">
        <v>123</v>
      </c>
      <c r="D80" s="154" t="s">
        <v>122</v>
      </c>
      <c r="E80" s="160">
        <v>1</v>
      </c>
      <c r="F80" s="197"/>
      <c r="G80" s="162">
        <f>E80*F80</f>
        <v>0</v>
      </c>
      <c r="H80" s="167">
        <v>0</v>
      </c>
      <c r="I80" s="167">
        <f>ROUND(E80*H80,2)</f>
        <v>0</v>
      </c>
      <c r="J80" s="167">
        <v>43692</v>
      </c>
      <c r="K80" s="167">
        <f>ROUND(E80*J80,2)</f>
        <v>43692</v>
      </c>
      <c r="L80" s="167">
        <v>15</v>
      </c>
      <c r="M80" s="167">
        <f>G80*(1+L80/100)</f>
        <v>0</v>
      </c>
      <c r="N80" s="168">
        <v>0</v>
      </c>
      <c r="O80" s="168">
        <f>ROUND(E80*N80,5)</f>
        <v>0</v>
      </c>
      <c r="P80" s="168">
        <v>0</v>
      </c>
      <c r="Q80" s="168">
        <f>ROUND(E80*P80,5)</f>
        <v>0</v>
      </c>
      <c r="R80" s="168"/>
      <c r="S80" s="168"/>
      <c r="T80" s="169">
        <v>0</v>
      </c>
      <c r="U80" s="168">
        <f>ROUND(E80*T80,2)</f>
        <v>0</v>
      </c>
      <c r="V80" s="149"/>
      <c r="W80" s="149"/>
      <c r="X80" s="149"/>
      <c r="Y80" s="149"/>
      <c r="Z80" s="149"/>
      <c r="AA80" s="149"/>
      <c r="AB80" s="149"/>
      <c r="AC80" s="149"/>
      <c r="AD80" s="149"/>
      <c r="AE80" s="149" t="s">
        <v>97</v>
      </c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15" customHeight="1" outlineLevel="1" x14ac:dyDescent="0.2">
      <c r="A81" s="183"/>
      <c r="B81" s="184" t="s">
        <v>125</v>
      </c>
      <c r="C81" s="188" t="s">
        <v>26</v>
      </c>
      <c r="D81" s="185"/>
      <c r="E81" s="186"/>
      <c r="F81" s="186"/>
      <c r="G81" s="187">
        <f>SUM(G80)</f>
        <v>0</v>
      </c>
      <c r="H81" s="162"/>
      <c r="I81" s="162"/>
      <c r="J81" s="162"/>
      <c r="K81" s="162"/>
      <c r="L81" s="162"/>
      <c r="M81" s="162"/>
      <c r="N81" s="155"/>
      <c r="O81" s="155"/>
      <c r="P81" s="155"/>
      <c r="Q81" s="155"/>
      <c r="R81" s="155"/>
      <c r="S81" s="155"/>
      <c r="T81" s="156"/>
      <c r="U81" s="155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6"/>
      <c r="B82" s="7" t="s">
        <v>124</v>
      </c>
      <c r="C82" s="172" t="s">
        <v>124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C82">
        <v>15</v>
      </c>
      <c r="AD82">
        <v>21</v>
      </c>
    </row>
    <row r="83" spans="1:60" ht="19.5" customHeight="1" x14ac:dyDescent="0.2">
      <c r="A83" s="189"/>
      <c r="B83" s="190"/>
      <c r="C83" s="191" t="s">
        <v>124</v>
      </c>
      <c r="D83" s="192" t="s">
        <v>127</v>
      </c>
      <c r="E83" s="192"/>
      <c r="F83" s="268">
        <f>G33+G42+G61+G69+G78+G81</f>
        <v>0</v>
      </c>
      <c r="G83" s="269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</sheetData>
  <mergeCells count="5">
    <mergeCell ref="A1:G1"/>
    <mergeCell ref="C2:G2"/>
    <mergeCell ref="C3:G3"/>
    <mergeCell ref="C4:G4"/>
    <mergeCell ref="F83:G83"/>
  </mergeCells>
  <pageMargins left="0.59055118110236227" right="0.39370078740157483" top="0.78740157480314965" bottom="0.78740157480314965" header="0.11811023622047245" footer="0.23622047244094491"/>
  <pageSetup paperSize="9" orientation="portrait" r:id="rId1"/>
  <headerFooter>
    <oddFooter>&amp;L&amp;9Stavební úpravy jízdárny a zázemí&amp;R&amp;8strana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Adamec</dc:creator>
  <cp:lastModifiedBy>uživatel</cp:lastModifiedBy>
  <cp:lastPrinted>2021-03-22T11:59:58Z</cp:lastPrinted>
  <dcterms:created xsi:type="dcterms:W3CDTF">2009-04-08T07:15:50Z</dcterms:created>
  <dcterms:modified xsi:type="dcterms:W3CDTF">2021-05-10T07:35:02Z</dcterms:modified>
</cp:coreProperties>
</file>