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6="http://schemas.microsoft.com/office/spreadsheetml/2016/revision6" mc:Ignorable="x15">
  <fileVersion appName="xl" lastEdited="7" lowestEdited="7" rupBuild="27231"/>
  <workbookPr/>
  <bookViews>
    <workbookView xWindow="65416" yWindow="65416" windowWidth="29040" windowHeight="15720" tabRatio="500" firstSheet="2" activeTab="6"/>
  </bookViews>
  <sheets>
    <sheet name="Krycí list rozpočtu" sheetId="1" r:id="rId1"/>
    <sheet name="VORN" sheetId="2" state="hidden" r:id="rId2"/>
    <sheet name="Rozpočet - objekty" sheetId="3" r:id="rId3"/>
    <sheet name="Stavební rozpočet (SO 01)" sheetId="4" r:id="rId4"/>
    <sheet name="Stavební rozpočet (SO 02)" sheetId="5" r:id="rId5"/>
    <sheet name="Hrom 681 682" sheetId="9" r:id="rId6"/>
    <sheet name="Stavební rozpočet (VRN)" sheetId="6" r:id="rId7"/>
    <sheet name="Stavební rozpočet" sheetId="7" state="hidden" r:id="rId8"/>
  </sheets>
  <definedNames>
    <definedName name="vorn_sum">'VORN'!$I$45</definedName>
  </definedNames>
  <calcPr calcId="191029"/>
</workbook>
</file>

<file path=xl/sharedStrings.xml><?xml version="1.0" encoding="utf-8"?>
<sst xmlns="http://schemas.openxmlformats.org/spreadsheetml/2006/main" count="3917" uniqueCount="870">
  <si>
    <t>Krycí list slepého rozpočtu</t>
  </si>
  <si>
    <t>Název stavby:</t>
  </si>
  <si>
    <t>Objednatel:</t>
  </si>
  <si>
    <t>IČO/DIČ:</t>
  </si>
  <si>
    <t>Druh stavby:</t>
  </si>
  <si>
    <t>Projektant:</t>
  </si>
  <si>
    <t>Lokalita:</t>
  </si>
  <si>
    <t>Zhotovitel:</t>
  </si>
  <si>
    <t>Začátek výstavby:</t>
  </si>
  <si>
    <t>Konec výstavby:</t>
  </si>
  <si>
    <t>Položek:</t>
  </si>
  <si>
    <t>JKSO:</t>
  </si>
  <si>
    <t>Zpracoval:</t>
  </si>
  <si>
    <t>Datum:</t>
  </si>
  <si>
    <t>Rozpočtové náklady v Kč</t>
  </si>
  <si>
    <t>A</t>
  </si>
  <si>
    <t>Základní rozpočtové náklady</t>
  </si>
  <si>
    <t>B</t>
  </si>
  <si>
    <t>Doplňkové náklady</t>
  </si>
  <si>
    <t>C</t>
  </si>
  <si>
    <t>Náklady na umístění stavby (NUS)</t>
  </si>
  <si>
    <t>HSV</t>
  </si>
  <si>
    <t>Dodávky</t>
  </si>
  <si>
    <t>Práce přesčas</t>
  </si>
  <si>
    <t>Zařízení staveniště</t>
  </si>
  <si>
    <t>Montáž</t>
  </si>
  <si>
    <t>Bez pevné podl.</t>
  </si>
  <si>
    <t>Mimostav. doprava</t>
  </si>
  <si>
    <t>PSV</t>
  </si>
  <si>
    <t>Kulturní památka</t>
  </si>
  <si>
    <t>Územní vlivy</t>
  </si>
  <si>
    <t>Provozní vlivy</t>
  </si>
  <si>
    <t>"M"</t>
  </si>
  <si>
    <t>Ostatní</t>
  </si>
  <si>
    <t>NUS z rozpočtu</t>
  </si>
  <si>
    <t>Ostatní materiál</t>
  </si>
  <si>
    <t>Přesun hmot a sutí</t>
  </si>
  <si>
    <t>ZRN celkem</t>
  </si>
  <si>
    <t>DN celkem</t>
  </si>
  <si>
    <t>NUS celkem</t>
  </si>
  <si>
    <t>DN celkem z obj.</t>
  </si>
  <si>
    <t>NUS celkem z obj.</t>
  </si>
  <si>
    <t>VORN celkem</t>
  </si>
  <si>
    <t>VORN celkem z obj.</t>
  </si>
  <si>
    <t>Základ 0%</t>
  </si>
  <si>
    <t>Základ 12%</t>
  </si>
  <si>
    <t>DPH 12%</t>
  </si>
  <si>
    <t>Celkem bez DPH</t>
  </si>
  <si>
    <t>Základ 21%</t>
  </si>
  <si>
    <t>DPH 21%</t>
  </si>
  <si>
    <t>Celkem včetně DPH</t>
  </si>
  <si>
    <t>Projektant</t>
  </si>
  <si>
    <t>Objednatel</t>
  </si>
  <si>
    <t>Zhotovitel</t>
  </si>
  <si>
    <t>Datum, razítko a podpis</t>
  </si>
  <si>
    <t>Poznámka:</t>
  </si>
  <si>
    <t xml:space="preserve">Všechny výpočty ploch, objemů a atd.. převzaty z původního rozpočtu. </t>
  </si>
  <si>
    <t>Vedlejší a ostatní rozpočtové náklady</t>
  </si>
  <si>
    <t>Vedlejší rozpočtové náklady VRN</t>
  </si>
  <si>
    <t>Doplňkové náklady DN</t>
  </si>
  <si>
    <t>Kč</t>
  </si>
  <si>
    <t>%</t>
  </si>
  <si>
    <t>Základna</t>
  </si>
  <si>
    <t>Celkem DN</t>
  </si>
  <si>
    <t>Celkem NUS</t>
  </si>
  <si>
    <t>Celkem VRN</t>
  </si>
  <si>
    <t>Vedlejší a ostatní rozpočtové náklady VORN</t>
  </si>
  <si>
    <t>Ostatní rozpočtové náklady (VORN)</t>
  </si>
  <si>
    <t>Průzkumy, geodetické a projektové práce</t>
  </si>
  <si>
    <t>Příprava staveniště</t>
  </si>
  <si>
    <t>Inženýrské činnosti</t>
  </si>
  <si>
    <t>Finanční náklady</t>
  </si>
  <si>
    <t>Náklady na pracovníky</t>
  </si>
  <si>
    <t>Ostatní náklady</t>
  </si>
  <si>
    <t>Vlastní VORN</t>
  </si>
  <si>
    <t>Celkem VORN</t>
  </si>
  <si>
    <t>Slepý stavební rozpočet - Jen objekty celkem</t>
  </si>
  <si>
    <t>Doba výstavby:</t>
  </si>
  <si>
    <t>Zpracováno dne:</t>
  </si>
  <si>
    <t xml:space="preserve"> </t>
  </si>
  <si>
    <t>Náklady (Kč)</t>
  </si>
  <si>
    <t>Hmotnost (t)</t>
  </si>
  <si>
    <t>Objekt</t>
  </si>
  <si>
    <t>Zkrácený popis</t>
  </si>
  <si>
    <t>Celkem</t>
  </si>
  <si>
    <t>SO 01</t>
  </si>
  <si>
    <t>Oprava střechy</t>
  </si>
  <si>
    <t>F</t>
  </si>
  <si>
    <t>SO 02</t>
  </si>
  <si>
    <t>Hromosvod</t>
  </si>
  <si>
    <t>VRN</t>
  </si>
  <si>
    <t>Celkem:</t>
  </si>
  <si>
    <t>Všechny výpočty ploch, objemů a atd.. převzaty z původního rozpočtu.</t>
  </si>
  <si>
    <t>Slepý stavební rozpočet (SO 01 - Oprava střechy)</t>
  </si>
  <si>
    <t>Č</t>
  </si>
  <si>
    <t>Kód</t>
  </si>
  <si>
    <t>MJ</t>
  </si>
  <si>
    <t>Množství</t>
  </si>
  <si>
    <t>Cena/MJ</t>
  </si>
  <si>
    <t>Cenová</t>
  </si>
  <si>
    <t>ISWORK</t>
  </si>
  <si>
    <t>GROUPCODE</t>
  </si>
  <si>
    <t>VATTAX</t>
  </si>
  <si>
    <t>Rozměry</t>
  </si>
  <si>
    <t>(Kč)</t>
  </si>
  <si>
    <t>Jednot.</t>
  </si>
  <si>
    <t>soustava</t>
  </si>
  <si>
    <t>Přesuny</t>
  </si>
  <si>
    <t>Typ skupiny</t>
  </si>
  <si>
    <t>HSV mat</t>
  </si>
  <si>
    <t>HSV prac</t>
  </si>
  <si>
    <t>PSV mat</t>
  </si>
  <si>
    <t>PSV prac</t>
  </si>
  <si>
    <t>Mont mat</t>
  </si>
  <si>
    <t>Mont prac</t>
  </si>
  <si>
    <t>Ostatní mat.</t>
  </si>
  <si>
    <t>MAT</t>
  </si>
  <si>
    <t>WORK</t>
  </si>
  <si>
    <t>CELK</t>
  </si>
  <si>
    <t>60</t>
  </si>
  <si>
    <t>Omítky ze suchých směsí</t>
  </si>
  <si>
    <t>1</t>
  </si>
  <si>
    <t>602011141R00</t>
  </si>
  <si>
    <t>Omítka na stěnách štuková vápenná vnitřní, ručně</t>
  </si>
  <si>
    <t>m2</t>
  </si>
  <si>
    <t>RTS II / 2023</t>
  </si>
  <si>
    <t>60_</t>
  </si>
  <si>
    <t>SO 01_6_</t>
  </si>
  <si>
    <t>SO 01_</t>
  </si>
  <si>
    <t>;skladba Z4.n;17,55*2</t>
  </si>
  <si>
    <t>2</t>
  </si>
  <si>
    <t>602011191R00</t>
  </si>
  <si>
    <t>Podkladní nátěr na stěnách pod tenkovrstvé omítky</t>
  </si>
  <si>
    <t>;skladba , Z4.n,Z5.n;(17,55)*2+8,8*2</t>
  </si>
  <si>
    <t>3</t>
  </si>
  <si>
    <t>602011183RT5</t>
  </si>
  <si>
    <t>Omítka na stěnách silikátová , ručně</t>
  </si>
  <si>
    <t>zatíraná, zrnitost 0,5 - 1,0 mm</t>
  </si>
  <si>
    <t>;skladba Z5.n; 8,8*2</t>
  </si>
  <si>
    <t>62</t>
  </si>
  <si>
    <t>Úprava povrchů vnější</t>
  </si>
  <si>
    <t>4</t>
  </si>
  <si>
    <t>622300131R00</t>
  </si>
  <si>
    <t>Vyrovnávací tmel tl. do 5 mm</t>
  </si>
  <si>
    <t>62_</t>
  </si>
  <si>
    <t>;skladba Z3.n, Z4.n,Z5.n;(9,5+17,55)*2+8,8*2</t>
  </si>
  <si>
    <t>5</t>
  </si>
  <si>
    <t>622315335RV1</t>
  </si>
  <si>
    <t>Zatepl. systém , fasáda, EPS F šedý tl.160 mm</t>
  </si>
  <si>
    <t>zakončený stěrkou s výztužnou tkaninou</t>
  </si>
  <si>
    <t>6</t>
  </si>
  <si>
    <t>622471317RS7</t>
  </si>
  <si>
    <t>Nátěr nebo nástřik stěn vnějších, složitost 1 - 2</t>
  </si>
  <si>
    <t>hmota silikátová</t>
  </si>
  <si>
    <t>7</t>
  </si>
  <si>
    <t>627452931R00</t>
  </si>
  <si>
    <t>Spárování starého zdiva cihelného do hl. 5 cm</t>
  </si>
  <si>
    <t>;oprava komínového zdiva včetně ploch v půdním prostoru; (1,0*2+0,55*2)*5,0</t>
  </si>
  <si>
    <t>712</t>
  </si>
  <si>
    <t>Izolace střech (živičné krytiny)</t>
  </si>
  <si>
    <t>8</t>
  </si>
  <si>
    <t>712300831RT1</t>
  </si>
  <si>
    <t>Odstranění povlakové krytiny střech do 10°, 1 vrstva</t>
  </si>
  <si>
    <t>712_</t>
  </si>
  <si>
    <t>SO 01_71_</t>
  </si>
  <si>
    <t>z ploch jednotlivě do 10 m2</t>
  </si>
  <si>
    <t>;stříšky zádveří - lepenka; 2,4*2,1*2</t>
  </si>
  <si>
    <t>9</t>
  </si>
  <si>
    <t>712351111RT2</t>
  </si>
  <si>
    <t>Provedení povlakové krytiny střech do 10°, samolepicími asfaltovými pásy</t>
  </si>
  <si>
    <t>včetně dodávky asfaltového pásu 
D asfaltový podkladový pás se samolepícími spoji k pokládce na dřevěné bednění pod falcovanou krytinu tl.3,0mm -(podrobněji viz. technická zpráva)</t>
  </si>
  <si>
    <t>;arkýř, zastřešení nad hlavními vstupy, stříška u kotelny; (1,5*2,1+1,5*1,6*2/2)+2,35*2,1*2+1,9*1,25</t>
  </si>
  <si>
    <t>;volská oka; 6,3*3</t>
  </si>
  <si>
    <t>10</t>
  </si>
  <si>
    <t>998712203R00</t>
  </si>
  <si>
    <t>Přesun hmot pro povlakové krytiny, výšky do 24 m</t>
  </si>
  <si>
    <t>500</t>
  </si>
  <si>
    <t>713</t>
  </si>
  <si>
    <t>Izolace tepelné</t>
  </si>
  <si>
    <t>11</t>
  </si>
  <si>
    <t>713101121R00</t>
  </si>
  <si>
    <t>Odstranění tepelné izolace stropů a podhledů, volně uložené, z desek minerálních, tl. do 100 mm</t>
  </si>
  <si>
    <t>713_</t>
  </si>
  <si>
    <t>;levá část podlahy půdy nad 1.NP; 7,48*13,63</t>
  </si>
  <si>
    <t>12</t>
  </si>
  <si>
    <t>713111111RT2</t>
  </si>
  <si>
    <t>Montáž tepelné izolace stropů vrchem kladené, volně</t>
  </si>
  <si>
    <t>2 vrstvy - materiál ve specifikaci</t>
  </si>
  <si>
    <t>;skladba S2.1n, S2.2n;88,26+85,02</t>
  </si>
  <si>
    <t>;skladba S3.1n; 127,86</t>
  </si>
  <si>
    <t>13</t>
  </si>
  <si>
    <t>631508206</t>
  </si>
  <si>
    <t>Minerální vata tl.140mm, ? Dmax= 0,035 W/m2K</t>
  </si>
  <si>
    <t>301,14*2</t>
  </si>
  <si>
    <t>;ztratné 10%; 60,228</t>
  </si>
  <si>
    <t>14</t>
  </si>
  <si>
    <t>713121411RT5</t>
  </si>
  <si>
    <t>Montáž tepelné izolace podlah, nosný rošt z EPS</t>
  </si>
  <si>
    <t>včetně dodávky roštu z EPS výšky 280 mm, Montáž nosných EPS křížů a trámků, slepení spojů PUR lepidlem
Včetně dodávek materiálu</t>
  </si>
  <si>
    <t>301,14</t>
  </si>
  <si>
    <t>15</t>
  </si>
  <si>
    <t>998713203R00</t>
  </si>
  <si>
    <t>Přesun hmot pro izolace tepelné, výšky do 24 m</t>
  </si>
  <si>
    <t>1000</t>
  </si>
  <si>
    <t>762</t>
  </si>
  <si>
    <t>Konstrukce tesařské</t>
  </si>
  <si>
    <t>16</t>
  </si>
  <si>
    <t>762331923R00</t>
  </si>
  <si>
    <t>Vyřezání části střešní vazby do 224 cm2,do dl.8 m</t>
  </si>
  <si>
    <t>m</t>
  </si>
  <si>
    <t>762_</t>
  </si>
  <si>
    <t>SO 01_76_</t>
  </si>
  <si>
    <t>;vaznice; 2,45*4+3,59*3*0,33+2,3*3*0,33+3,73*2*0,5</t>
  </si>
  <si>
    <t>;krokev; 0,4*(1,31*4+2,24*4+3,15*4+4,07*4+4,92*4+5,78*4+6,64*2)</t>
  </si>
  <si>
    <t>;krokev; 5,7*13*0,6+5,1*2*0,4+4,05+2,5+0,7*(4,4*2+2,85*2+1,6*2)+0,4*(2,9+4,3+3,5)</t>
  </si>
  <si>
    <t>;krokev; 0,4*(4,5*2+3,12*2+1,7*2+5,6*11+4,3*2+2,9*2+1,6*2+1,7*2+3,3*2+4,9*2+4,5*4+3,05*4+1,6*4)</t>
  </si>
  <si>
    <t>;nárožní, úžlabní krokve; 0,4*(10*4+3,8*2+7,05*4+6,6)+6,9+7,32*0,4+4,5*2+20</t>
  </si>
  <si>
    <t>;krokev; 0,55*(1,89*4+3,6*4+5,3*4+7*4)+8,65*2*0,8+3,12*6*0,6+0,4*(2,16*2+0,9*2+1,92*2+3,2+1,85*2)</t>
  </si>
  <si>
    <t>;krokev;1,9+1,05+1,5+2,9+4,5+6,05</t>
  </si>
  <si>
    <t>;krokev; 3,7*4+3,3*2+2,6*2+1,8*2+2,04*8</t>
  </si>
  <si>
    <t>17</t>
  </si>
  <si>
    <t>762331933R00</t>
  </si>
  <si>
    <t>Vyřezání části střešní vazby do 288 cm2,do dl.8 m</t>
  </si>
  <si>
    <t>;pozednice; 8,37*2*0,5+0,95+5,08*0,3+6,37</t>
  </si>
  <si>
    <t>;vzpěra; 2,7*3*0,33+4</t>
  </si>
  <si>
    <t>18</t>
  </si>
  <si>
    <t>762331943R00</t>
  </si>
  <si>
    <t>Vyřezání části střešní vazby do 450 cm2,do dl.8 m</t>
  </si>
  <si>
    <t>;vazný trám; 7,35*5*0,2+2,33*8*0,1</t>
  </si>
  <si>
    <t>19</t>
  </si>
  <si>
    <t>762341811R00</t>
  </si>
  <si>
    <t>Demontáž bednění střech rovných z prken hrubých</t>
  </si>
  <si>
    <t>;stříšky s plechovou krytinou; 2,4*2*2+7,6</t>
  </si>
  <si>
    <t>;podbití říms;0,4*(5,2*2+3,52)+0,3*(2,35+2,05)*2+0,4*(5,16+6,16+4,7*2)+0,4*(15+3,4*2)+0,4*(16+1,0*2)+2</t>
  </si>
  <si>
    <t>20</t>
  </si>
  <si>
    <t>762342811R00</t>
  </si>
  <si>
    <t>Demontáž laťování střech, rozteč latí do 22 cm</t>
  </si>
  <si>
    <t>542,994</t>
  </si>
  <si>
    <t>21</t>
  </si>
  <si>
    <t>762911121R00</t>
  </si>
  <si>
    <t>Impregnace řeziva tlakovakuová /  máčením</t>
  </si>
  <si>
    <t>m3</t>
  </si>
  <si>
    <t>;řezivo; 5,898+0,674+0,419+0,616+6,841+1,945</t>
  </si>
  <si>
    <t>22</t>
  </si>
  <si>
    <t>762333120R00</t>
  </si>
  <si>
    <t>Montáž vázaných krovů nepravidelných do 224 cm2</t>
  </si>
  <si>
    <t>;výměna prvků; 399,643</t>
  </si>
  <si>
    <t>23</t>
  </si>
  <si>
    <t>60515231</t>
  </si>
  <si>
    <t>Hranol stavební SM do 140 x 140 mm, 6 - 10 m</t>
  </si>
  <si>
    <t>;pozednice,rozpěra, vaznice;(2,45*4)*0,12*0,12+(3,59*3*0,33+2,3*3*0,33)*0,16*0,13+3,73*2*0,5*0,16*0,14</t>
  </si>
  <si>
    <t>;krokev; (0,4*(1,31*4+2,24*4+3,15*4+4,07*4+4,92*4+5,78*4+6,64*2))*0,1*0,13</t>
  </si>
  <si>
    <t>;krokev;(0,55*(1,89*4+3,6*4+5,3*4+7*4)+8,65*2*0,8+3,12*6*0,6+0,4*(2,16*2+0,9*2+1,92*2+3,2+1,85*2))*0,1*0,13</t>
  </si>
  <si>
    <t>;krokev;(5,7*13*0,6+5,1*2*0,4+4,05+2,5+0,7*(4,4*2+2,85*2+1,6*2)+0,4*(2,9+4,3+3,5))*0,1*0,13</t>
  </si>
  <si>
    <t>;krokev;(1,9+1,05+1,5+2,9+4,5+6,05)*0,1*0,13</t>
  </si>
  <si>
    <t>;krokev;(0,4*(4,5*2+3,12*2+1,7*2+5,6*11+4,3*2+2,9*2+1,6*2+1,7*2+3,3*2+4,9*2+4,5*4+3,05*4+1,6*4))*0,1*0,13</t>
  </si>
  <si>
    <t>;krokev;(3,7*4+3,3*2+2,6*2+1,8*2+2,04*8)*0,1*0,13</t>
  </si>
  <si>
    <t>;nárožní, úžlabní krokve;(0,4*(10*4+3,8*2+7,05*4+6,6)+6,9+7,32*0,4+4,5*2+20)*0,1*0,14</t>
  </si>
  <si>
    <t>;ztratné 10%; 0,536141</t>
  </si>
  <si>
    <t>24</t>
  </si>
  <si>
    <t>762333130R00</t>
  </si>
  <si>
    <t>Montáž vázaných krovů nepravidelných do 288 cm2</t>
  </si>
  <si>
    <t>;pozednice;8,37*2*0,5+0,95+5,08*0,3+6,37</t>
  </si>
  <si>
    <t>;vzpěra;2,7*3*0,33+4</t>
  </si>
  <si>
    <t>25</t>
  </si>
  <si>
    <t>60515249</t>
  </si>
  <si>
    <t>Hranol stavební SM do 160 x 160 mm, 6 - 10 m</t>
  </si>
  <si>
    <t>(8,37*2*0,5+0,95+5,08*0,3+6,37)*0,14*0,18</t>
  </si>
  <si>
    <t>2,7*3*0,33*0,15*0,16+4*0,0288</t>
  </si>
  <si>
    <t>;ztratné 10%; 0,061314</t>
  </si>
  <si>
    <t>26</t>
  </si>
  <si>
    <t>762333140R00</t>
  </si>
  <si>
    <t>Montáž vázaných krovů nepravidelných do 450 cm2</t>
  </si>
  <si>
    <t>;vazný trám;7,35*5*0,2+2,33*8*0,1</t>
  </si>
  <si>
    <t>27</t>
  </si>
  <si>
    <t>60515281</t>
  </si>
  <si>
    <t>Hranol stavební SM do 200 x 200 mm, 6 - 10 m</t>
  </si>
  <si>
    <t>(7,35*5*0,2+2,33*8*0,1)*0,18*0,23</t>
  </si>
  <si>
    <t>;ztratné 10%; 0,038146</t>
  </si>
  <si>
    <t>28</t>
  </si>
  <si>
    <t>762341210R00</t>
  </si>
  <si>
    <t>Montáž bednění střech rovných, prkna hrubá na sraz</t>
  </si>
  <si>
    <t>;stříšky s plechovou krytinou;2,4*2,1*2+7,6+1</t>
  </si>
  <si>
    <t>29</t>
  </si>
  <si>
    <t>60511132</t>
  </si>
  <si>
    <t>Prkno stavební omítané SM/BO tl. 24 mm, 4 - 6 m</t>
  </si>
  <si>
    <t>;stříšky s plechovou krytinou;(2,4*2,1*2+7,6+1)*0,03</t>
  </si>
  <si>
    <t>;ztratné 10%; 0,05604</t>
  </si>
  <si>
    <t>30</t>
  </si>
  <si>
    <t>762342202R00</t>
  </si>
  <si>
    <t>Montáž laťování střech, vzdálenost latí do 22 cm</t>
  </si>
  <si>
    <t>31</t>
  </si>
  <si>
    <t>60510000</t>
  </si>
  <si>
    <t>Lať střešní SM 30 x 50 mm, 3 - 5 m</t>
  </si>
  <si>
    <t>542,994*7*0,03*0,05</t>
  </si>
  <si>
    <t>;ztratné 20%; 1,140288</t>
  </si>
  <si>
    <t>32</t>
  </si>
  <si>
    <t>762342204R00</t>
  </si>
  <si>
    <t>Montáž kontralatí přibitím</t>
  </si>
  <si>
    <t>;kontralatě;1070</t>
  </si>
  <si>
    <t>;kontralatě arkýře;1,3*8</t>
  </si>
  <si>
    <t>33</t>
  </si>
  <si>
    <t>(1070+10,4)*0,03*0,05</t>
  </si>
  <si>
    <t>;ztratné 20%; 0,32412</t>
  </si>
  <si>
    <t>34</t>
  </si>
  <si>
    <t>762395000R00</t>
  </si>
  <si>
    <t>Spojovací a ochranné prostředky pro střechy</t>
  </si>
  <si>
    <t>5,898+0,674+0,419+9,846+6,841+1,945</t>
  </si>
  <si>
    <t>35</t>
  </si>
  <si>
    <t>762512245RT3</t>
  </si>
  <si>
    <t>Položení podlah pod PVC šroubováním</t>
  </si>
  <si>
    <t>včetně dodávky, dřevotříska tl. 22 mm
" v ceně zohlednit zakrytí spár kolem prostupujících prvků krovu dřevěnými lištami"</t>
  </si>
  <si>
    <t>30,0+30,0+25,0</t>
  </si>
  <si>
    <t>36</t>
  </si>
  <si>
    <t>762000020VD</t>
  </si>
  <si>
    <t>D+M prkna šíře 100mm, tl.24mm, přilepení prkna na PUR lepidlo v celé délce</t>
  </si>
  <si>
    <t>37</t>
  </si>
  <si>
    <t>762341620R00</t>
  </si>
  <si>
    <t>Montáž bednění okapových říms z palubek pero-drážka</t>
  </si>
  <si>
    <t>;podhled vstupů;12,5</t>
  </si>
  <si>
    <t>38</t>
  </si>
  <si>
    <t>61191685</t>
  </si>
  <si>
    <t>Palubka obkladová SM jakost A/B, tl. 12,5 mm, šířka 96 mm</t>
  </si>
  <si>
    <t>46,92</t>
  </si>
  <si>
    <t>;ztratné 15%; 7,038</t>
  </si>
  <si>
    <t>39</t>
  </si>
  <si>
    <t>762341310RT2</t>
  </si>
  <si>
    <t>Montáž bednění střech oblouk., prkna hrubá na sraz</t>
  </si>
  <si>
    <t>včetně dodávky řeziva, prkna tl. 24 mm</t>
  </si>
  <si>
    <t>;vikýře volská oka; 18,9</t>
  </si>
  <si>
    <t>40</t>
  </si>
  <si>
    <t>998762203R00</t>
  </si>
  <si>
    <t>Přesun hmot pro tesařské konstrukce, výšky do 24 m</t>
  </si>
  <si>
    <t>5329,69</t>
  </si>
  <si>
    <t>;ztratné 15%; 799,4535</t>
  </si>
  <si>
    <t>764</t>
  </si>
  <si>
    <t>Konstrukce klempířské</t>
  </si>
  <si>
    <t>41</t>
  </si>
  <si>
    <t>764311821R00</t>
  </si>
  <si>
    <t>Demontáž krytiny, tabule 2 x 1 m, do 25 m2, do 30°</t>
  </si>
  <si>
    <t>764_</t>
  </si>
  <si>
    <t>;arkýř, přístřešky hl. vchodů; 2,4*2*2+7,6</t>
  </si>
  <si>
    <t>42</t>
  </si>
  <si>
    <t>764392841R00</t>
  </si>
  <si>
    <t>Demontáž úžlabí, rš 500 mm, sklon do 45°</t>
  </si>
  <si>
    <t>6,9*2+3,8*2+4,5*2+7,32*2</t>
  </si>
  <si>
    <t>43</t>
  </si>
  <si>
    <t>764348814R00</t>
  </si>
  <si>
    <t>Demontáž sněhového zachytače, sklon do 45°</t>
  </si>
  <si>
    <t>kus</t>
  </si>
  <si>
    <t>250</t>
  </si>
  <si>
    <t>44</t>
  </si>
  <si>
    <t>764351821R00</t>
  </si>
  <si>
    <t>Demontáž žlabů 4hran., rovných, rš 400 mm, do 45°</t>
  </si>
  <si>
    <t>12,82+7,2+0,85+0,5+15,1+0,5+0,85+7,15+13,97+7,82+5+3,7+5,35+5*2+2,4*2+4,85+6,35+3,81+4,2+8,87</t>
  </si>
  <si>
    <t>45</t>
  </si>
  <si>
    <t>764454802R00</t>
  </si>
  <si>
    <t>Demontáž odpadních trub kruhových, D 120 mm</t>
  </si>
  <si>
    <t>8*2+3,5+4,5+4+7,6+4+6,3+5</t>
  </si>
  <si>
    <t>46</t>
  </si>
  <si>
    <t>764291210R00</t>
  </si>
  <si>
    <t>Závětrná lišta z Cu plechu, rš 250 mm</t>
  </si>
  <si>
    <t>;stříšky nad vchody, stříška u kotelny; 8</t>
  </si>
  <si>
    <t>47</t>
  </si>
  <si>
    <t>764294230R00</t>
  </si>
  <si>
    <t>Podkladní pás z Cu plechu, rš 250 mm</t>
  </si>
  <si>
    <t>;K33 - podkladní pás;11,01</t>
  </si>
  <si>
    <t>48</t>
  </si>
  <si>
    <t>764816420R00</t>
  </si>
  <si>
    <t>Okapnice z lakovaného Pz plechu, rš 150 mm</t>
  </si>
  <si>
    <t>Zakládací plech pro založení podstřešní pojistné hydroizolace</t>
  </si>
  <si>
    <t>;K21;164</t>
  </si>
  <si>
    <t>49</t>
  </si>
  <si>
    <t>764296230R00</t>
  </si>
  <si>
    <t>Dilatační lišta připojovací z Cu plechu, rš 120 mm</t>
  </si>
  <si>
    <t>;K33- dilatační lišta; 13,3</t>
  </si>
  <si>
    <t>50</t>
  </si>
  <si>
    <t>764211241RT2</t>
  </si>
  <si>
    <t>Krytina hladká z Cu, svitky š. 670 mm, sklon do 30°</t>
  </si>
  <si>
    <t>plocha do 25 m2, Položka je kalkulována včetně úpravy krytiny u okapů, prostupů a výčnělků.</t>
  </si>
  <si>
    <t>;K33 - krytina;19,9</t>
  </si>
  <si>
    <t>51</t>
  </si>
  <si>
    <t>764231220R00</t>
  </si>
  <si>
    <t>Lemování z Cu plechu zdí, tvrdá krytina, rš 250 mm</t>
  </si>
  <si>
    <t>;K32; 25,7</t>
  </si>
  <si>
    <t>52</t>
  </si>
  <si>
    <t>764251205R00</t>
  </si>
  <si>
    <t>Žlaby z Cu plechu, podokapní čtyřhrané, rš 400 mm</t>
  </si>
  <si>
    <t>;okapní háky K22 - 122ks, okapní žlab K23 - 151,9m, měděná čela okapních žlabů hranatých - 16ks; 151,9</t>
  </si>
  <si>
    <t>53</t>
  </si>
  <si>
    <t>764259231R00</t>
  </si>
  <si>
    <t>Kotlík čtyřhran. pro žlaby z Cu 200 x 250 x 350 mm</t>
  </si>
  <si>
    <t>;K27;11</t>
  </si>
  <si>
    <t>54</t>
  </si>
  <si>
    <t>764292251R00</t>
  </si>
  <si>
    <t>Úžlabí z Cu plechu, rš 660 mm, klínové těsnění</t>
  </si>
  <si>
    <t>;K31; 41</t>
  </si>
  <si>
    <t>55</t>
  </si>
  <si>
    <t>764554203R00</t>
  </si>
  <si>
    <t>Odpadní trouby z Cu plechu, kruhové, D 120 mm</t>
  </si>
  <si>
    <t>;měděný svod K25 + objímka okapního  svodu K26 pr.120mm - 24ks;40</t>
  </si>
  <si>
    <t>56</t>
  </si>
  <si>
    <t>764239210R00</t>
  </si>
  <si>
    <t>Lemování z Cu, komínů na vlnité krytině, v ploše</t>
  </si>
  <si>
    <t>;pozice K35; 3,3*0,8</t>
  </si>
  <si>
    <t>57</t>
  </si>
  <si>
    <t>764292240R00</t>
  </si>
  <si>
    <t>Úžlabí z Cu plechu, rš 500 mm</t>
  </si>
  <si>
    <t>Úžlabí střechy u stěny z měděného plechu r.š.250mm včetně příponky + tmelení trvale pružným PU tmelem</t>
  </si>
  <si>
    <t>;pozice K37;  12,2</t>
  </si>
  <si>
    <t>58</t>
  </si>
  <si>
    <t>764819213R00</t>
  </si>
  <si>
    <t>Odpadní trouby kruhové z lak.Pz plechu, D 120 mm</t>
  </si>
  <si>
    <t>;měděný svod K25 + objímka okapního  svodu K26 pr.120mm ;10</t>
  </si>
  <si>
    <t>59</t>
  </si>
  <si>
    <t>764267201R00</t>
  </si>
  <si>
    <t>Oplechování vikýře z Cu plochy do 6 m2, do 45°</t>
  </si>
  <si>
    <t>;volská oka; 1,6*0,5*3</t>
  </si>
  <si>
    <t>764530260RT2</t>
  </si>
  <si>
    <t>Oplechování zdí z Cu plechu, rš 750 mm</t>
  </si>
  <si>
    <t>nalepení Enkolitem</t>
  </si>
  <si>
    <t>;oplechování komínové hlavy K50;  1,2*2</t>
  </si>
  <si>
    <t>61</t>
  </si>
  <si>
    <t>998764203R00</t>
  </si>
  <si>
    <t>Přesun hmot pro klempířské konstr., výšky do 24 m</t>
  </si>
  <si>
    <t>7200</t>
  </si>
  <si>
    <t>765</t>
  </si>
  <si>
    <t>Krytina tvrdá</t>
  </si>
  <si>
    <t>765311810R00</t>
  </si>
  <si>
    <t>Demontáž krytiny bobrovky na sucho, do suti</t>
  </si>
  <si>
    <t>765_</t>
  </si>
  <si>
    <t>Poznámka k položce:
Demontáž krytiny včetně doplňkových střešních tvarovek (nároží, hřebenáče, ozdobné prvky střechy)</t>
  </si>
  <si>
    <t>14,73*6,415+9,63*8,69+4,2*3,2*2+4,47*3,2</t>
  </si>
  <si>
    <t>((3,525+7,05)*5,66/2)+((7+3,475)*5,715/2)</t>
  </si>
  <si>
    <t>((12,48+4,28)*5,57/2)+((13,63+5,46)*5,685/2)</t>
  </si>
  <si>
    <t>(8,53*5,66/2+7,48*5,665/2)</t>
  </si>
  <si>
    <t>4,28*5,57+3,525*5,66/2</t>
  </si>
  <si>
    <t>5,46*5,685+3,475*5,715/2</t>
  </si>
  <si>
    <t>16*0,7+9,4*2+2*3+4,8*0,7*2</t>
  </si>
  <si>
    <t>63</t>
  </si>
  <si>
    <t>765311918R00</t>
  </si>
  <si>
    <t>Příplatek za sklon přes 30 do 60°,bobrovky na sucho</t>
  </si>
  <si>
    <t>64</t>
  </si>
  <si>
    <t>765318861R00</t>
  </si>
  <si>
    <t>Demontáž krytiny z hřebenáčů, zvětr.malta, do suti</t>
  </si>
  <si>
    <t>92,5+21,2</t>
  </si>
  <si>
    <t>65</t>
  </si>
  <si>
    <t>765000002VD</t>
  </si>
  <si>
    <t>Demontáž střešních výlezů</t>
  </si>
  <si>
    <t>ks</t>
  </si>
  <si>
    <t>66</t>
  </si>
  <si>
    <t>765311583R00</t>
  </si>
  <si>
    <t>Bobrovka -  přiřezání a uchycení tašek</t>
  </si>
  <si>
    <t>92,5*2+21,2*2+34,7*2</t>
  </si>
  <si>
    <t>67</t>
  </si>
  <si>
    <t>765311544RT1</t>
  </si>
  <si>
    <t>Nároží bobrovka, nárožní hrana na sucho s větracím pásem kovovým, z hřebenáčů režných</t>
  </si>
  <si>
    <t>92,5</t>
  </si>
  <si>
    <t>68</t>
  </si>
  <si>
    <t>765311534RT1</t>
  </si>
  <si>
    <t>Hřeben bobrovka, hřeben na sucho s větracím pásem kovovým, z hřebenáčů režných</t>
  </si>
  <si>
    <t>21,2</t>
  </si>
  <si>
    <t>69</t>
  </si>
  <si>
    <t>765311511RT1</t>
  </si>
  <si>
    <t>Krytina z bobrovek, střech jedn.,šupinová,na sucho</t>
  </si>
  <si>
    <t>režné tašky segment.řez, vč.doplňkových tašek,
Dodávka a montáž základní tašky, poloviční, hřebenové a okapové ( segmentový řez tašek ) včetně pokrývačské malty. Spotřeba 38 ks/m2</t>
  </si>
  <si>
    <t>70</t>
  </si>
  <si>
    <t>765311585R00</t>
  </si>
  <si>
    <t>Nástavec pro odvětrání kanalizace</t>
  </si>
  <si>
    <t>71</t>
  </si>
  <si>
    <t>765311711R00</t>
  </si>
  <si>
    <t>Hřebenáč rozdělovací valbový k hřebenáči drážk.</t>
  </si>
  <si>
    <t>;zakončení valby; 14</t>
  </si>
  <si>
    <t>72</t>
  </si>
  <si>
    <t>765000016VD</t>
  </si>
  <si>
    <t>M+D nové římsové sukýnky z keramických tašek bobrovek</t>
  </si>
  <si>
    <t>;pohled JZ;16*0,85</t>
  </si>
  <si>
    <t>;pohled P1;6*2*0,85</t>
  </si>
  <si>
    <t>73</t>
  </si>
  <si>
    <t>764261220R00</t>
  </si>
  <si>
    <t>Střešní okna z Cu plechu, kryt. vlnitá, 60 x 60 cm</t>
  </si>
  <si>
    <t>Atypický střešní vikýř, rozměr cca 600x600 mm,otevíravý z venku, zasklení bezpečnostním sklem,  D+M včetně oplechování Cu plechem "K34"</t>
  </si>
  <si>
    <t>74</t>
  </si>
  <si>
    <t>762088113R00</t>
  </si>
  <si>
    <t>Zakrývání provizorní plachtou 12x15m,vč.odstranění</t>
  </si>
  <si>
    <t>četnost zakrývání přepočtená koef.množství (předpoklad provádění po částech), uchazeč ocení dle svých zvyklostí bez ohledu na uvedenou výměru (tzn.celková cena této položky pokryje jeho náklady na zakrývání), odpadnou tím nároky na případné vícepráce a méněpráce. plocha dle stáv. stavu, zohlednit potřebné řezivo a spojovací prvky nutné k bezpečnému uchycení plachty</t>
  </si>
  <si>
    <t>75</t>
  </si>
  <si>
    <t>765311752RU1</t>
  </si>
  <si>
    <t>Sněhový zachytávač dvoutrubkový, pálená krytina</t>
  </si>
  <si>
    <t>uni základna na kovové bobrovce</t>
  </si>
  <si>
    <t>102,7</t>
  </si>
  <si>
    <t>76</t>
  </si>
  <si>
    <t>765901001R00</t>
  </si>
  <si>
    <t>Montáž podstřešní fólie</t>
  </si>
  <si>
    <t>;plocha střechy; 543</t>
  </si>
  <si>
    <t>;arkýř, zastřešení nad hlavními vstupy, stříška u kotelny;(1,5*2,1+1,5*1,6*2/2)+2,35*2,1*2+1,9*1,25</t>
  </si>
  <si>
    <t>77</t>
  </si>
  <si>
    <t>673522153</t>
  </si>
  <si>
    <t>fólie kontaktní difuzně propustná pro doplňkovou hydroizolační vrstvu, monolitická třívrstvá PES/PP 150-160g/m2, integrovaná samolepící páska</t>
  </si>
  <si>
    <t>560,795</t>
  </si>
  <si>
    <t>;ztratné 10%; 56,0795</t>
  </si>
  <si>
    <t>78</t>
  </si>
  <si>
    <t>765901311R00</t>
  </si>
  <si>
    <t>Páska těsnicí pod kontralatě š. 5 cm</t>
  </si>
  <si>
    <t>1080</t>
  </si>
  <si>
    <t>79</t>
  </si>
  <si>
    <t>765311722R00</t>
  </si>
  <si>
    <t>Větrací mřížka Al š. 80 mm</t>
  </si>
  <si>
    <t>178</t>
  </si>
  <si>
    <t>80</t>
  </si>
  <si>
    <t>765311529R00</t>
  </si>
  <si>
    <t>Krytina vikýře z bobrovek (volské oko)</t>
  </si>
  <si>
    <t>18,9</t>
  </si>
  <si>
    <t>81</t>
  </si>
  <si>
    <t>765312375R00</t>
  </si>
  <si>
    <t>Střešní lávka, rošt 400 x 250 mm</t>
  </si>
  <si>
    <t>82</t>
  </si>
  <si>
    <t>998765203R00</t>
  </si>
  <si>
    <t>Přesun hmot pro krytiny tvrdé, výšky do 24 m</t>
  </si>
  <si>
    <t>3000</t>
  </si>
  <si>
    <t>766</t>
  </si>
  <si>
    <t>Konstrukce truhlářské</t>
  </si>
  <si>
    <t>83</t>
  </si>
  <si>
    <t>766427112R00</t>
  </si>
  <si>
    <t>Podkladový rošt pro obložení podhledů</t>
  </si>
  <si>
    <t>766_</t>
  </si>
  <si>
    <t xml:space="preserve">Demnontáž původního a montáž nového,
D+M výměna latí pro podbití římsy, latě průřezu 60x40mm, výměna nosného roštu laťových rámů, včetně spojovacích prostředků
</t>
  </si>
  <si>
    <t>47*6</t>
  </si>
  <si>
    <t>84</t>
  </si>
  <si>
    <t>60510055</t>
  </si>
  <si>
    <t>Lať surová SM jakost I-II 40 x 60 mm, 4 m</t>
  </si>
  <si>
    <t>282</t>
  </si>
  <si>
    <t>;ztratné 10%; 28,2</t>
  </si>
  <si>
    <t>85</t>
  </si>
  <si>
    <t>766000017VD</t>
  </si>
  <si>
    <t>Nové dřevěné eurookno historického vzhledu</t>
  </si>
  <si>
    <t>Včetně rámu a montážního rámu umožnujícího pokládku střešní krytiny volského oka</t>
  </si>
  <si>
    <t>;o4.01.n; 3</t>
  </si>
  <si>
    <t>86</t>
  </si>
  <si>
    <t>998766203R00</t>
  </si>
  <si>
    <t>Přesun hmot pro truhlářské konstr., výšky do 24 m</t>
  </si>
  <si>
    <t>783</t>
  </si>
  <si>
    <t>Nátěry</t>
  </si>
  <si>
    <t>87</t>
  </si>
  <si>
    <t>783626200R00</t>
  </si>
  <si>
    <t>Nátěr lazurovací truhlářských výrobků 2x lakování</t>
  </si>
  <si>
    <t>783_</t>
  </si>
  <si>
    <t>SO 01_78_</t>
  </si>
  <si>
    <t>;nátěr podbití říms;(0,4*(5,2*2+3,52)+0,3*(2,35+2,05)*2+0,4*(5,16+6,16+4,7*2)+0,4*(15+3,4*2)+0,4*(16+1,0*2))*2</t>
  </si>
  <si>
    <t>88</t>
  </si>
  <si>
    <t>783782221R00</t>
  </si>
  <si>
    <t>Nátěr tesařských konstrukcí</t>
  </si>
  <si>
    <t>Sanační napouštěcí nátěr tesařských prvků proti dřevokazným houbám, hmyzu a plísním zabudovaných do konstrukce, aplikovaný stříkáním</t>
  </si>
  <si>
    <t>;pozednice; 117,1*(0,14+0,18)*2+2,45*0,12*4</t>
  </si>
  <si>
    <t>;práh vaz.tr; 8,37*2*(0,1+0,14)*2</t>
  </si>
  <si>
    <t>;vazný trám; 58,55*(0,17+0,23)*2+79,8*(0,18+0,23)*2</t>
  </si>
  <si>
    <t>;sloupek; 38,52*(0,16+0,13)*2</t>
  </si>
  <si>
    <t>;vzpěra; 49,5*(0,15+0,16)*2</t>
  </si>
  <si>
    <t>;rozpěra; 25,62*(0,16+0,13)*2</t>
  </si>
  <si>
    <t>;vaznice; 19,12*(0,14+0,16)*2+51,1*(0,13+0,17)*2</t>
  </si>
  <si>
    <t>; pásek; 24*(0,13+0,11)*2</t>
  </si>
  <si>
    <t>; krokev; 561,11*(0,1+0,13)*2</t>
  </si>
  <si>
    <t>; nárožní krokev; 82,4*(0,1+0,14)*2</t>
  </si>
  <si>
    <t>;úžlabní krokev; 23,22*(0,1+0,14)*2</t>
  </si>
  <si>
    <t>89</t>
  </si>
  <si>
    <t>783122710R00</t>
  </si>
  <si>
    <t>Nátěr syntetický  základní</t>
  </si>
  <si>
    <t>;nátěr nerez plechu odkouření kotle - nástavec na komínu; 0,94*1,5</t>
  </si>
  <si>
    <t>90</t>
  </si>
  <si>
    <t>783125130R00</t>
  </si>
  <si>
    <t>Nátěr syntetický OK  dvojnásobný</t>
  </si>
  <si>
    <t>94</t>
  </si>
  <si>
    <t>Lešení a stavební výtahy</t>
  </si>
  <si>
    <t>91</t>
  </si>
  <si>
    <t>941941041R00</t>
  </si>
  <si>
    <t>Montáž lešení leh.řad.s podlahami,š.1,2 m, H 10 m</t>
  </si>
  <si>
    <t>94_</t>
  </si>
  <si>
    <t>SO 01_9_</t>
  </si>
  <si>
    <t>31,45*8,5+11,6*3,8+(9,94+2,5)*2,7+(5,5+4,85+6,2+4,85+5,5)*5,62+(3,65+9,0)*2,7+5,55*2,7+7,2*8,5</t>
  </si>
  <si>
    <t>92</t>
  </si>
  <si>
    <t>941941111R00</t>
  </si>
  <si>
    <t>Pronájem lešení za den</t>
  </si>
  <si>
    <t>606,511*90+42*30</t>
  </si>
  <si>
    <t>93</t>
  </si>
  <si>
    <t>941941841R00</t>
  </si>
  <si>
    <t>Demontáž lešení leh.řad.s podlahami,š.1,2 m,H 10 m</t>
  </si>
  <si>
    <t>606,511</t>
  </si>
  <si>
    <t>944944011R00</t>
  </si>
  <si>
    <t>Montáž ochranné sítě z umělých vláken</t>
  </si>
  <si>
    <t>95</t>
  </si>
  <si>
    <t>944944031R00</t>
  </si>
  <si>
    <t>Příplatek za každý měsíc použití sítí k pol. 4011</t>
  </si>
  <si>
    <t>606,51*3</t>
  </si>
  <si>
    <t>96</t>
  </si>
  <si>
    <t>944944081R00</t>
  </si>
  <si>
    <t>Demontáž ochranné sítě z umělých vláken</t>
  </si>
  <si>
    <t>606,51</t>
  </si>
  <si>
    <t>97</t>
  </si>
  <si>
    <t>941941031R00</t>
  </si>
  <si>
    <t>Montáž lešení leh.řad.s podlahami,š.do 1 m, H 10 m</t>
  </si>
  <si>
    <t>;oprava komínu; 3,0*5,0*2+1,2*5,0*2</t>
  </si>
  <si>
    <t>98</t>
  </si>
  <si>
    <t>941941831R00</t>
  </si>
  <si>
    <t>Demontáž lešení leh.řad.s podlahami,š.1 m, H 10 m</t>
  </si>
  <si>
    <t>H99</t>
  </si>
  <si>
    <t>Ostatní přesuny hmot</t>
  </si>
  <si>
    <t>99</t>
  </si>
  <si>
    <t>999281111R00</t>
  </si>
  <si>
    <t>Přesun hmot pro opravy a údržbu do výšky 25 m</t>
  </si>
  <si>
    <t>t</t>
  </si>
  <si>
    <t>H99_</t>
  </si>
  <si>
    <t>S</t>
  </si>
  <si>
    <t>Přesuny sutí</t>
  </si>
  <si>
    <t>100</t>
  </si>
  <si>
    <t>979011111R00</t>
  </si>
  <si>
    <t>Svislá doprava suti a vybour. hmot za 2.NP a 1.PP</t>
  </si>
  <si>
    <t>S_</t>
  </si>
  <si>
    <t>;dřevo; 4,98+0,38+0,77+3,81</t>
  </si>
  <si>
    <t>;plech; 0,13+0,14+1,04+0,5+0,15</t>
  </si>
  <si>
    <t>;krytina; 36,4+2,62</t>
  </si>
  <si>
    <t>;lepenka; 0,1</t>
  </si>
  <si>
    <t>;EPS; 0,4</t>
  </si>
  <si>
    <t>101</t>
  </si>
  <si>
    <t>979011121R00</t>
  </si>
  <si>
    <t>Příplatek za každé další podlaží</t>
  </si>
  <si>
    <t>51,42/2</t>
  </si>
  <si>
    <t>102</t>
  </si>
  <si>
    <t>979081111R00</t>
  </si>
  <si>
    <t>Odvoz suti a vybour. hmot na skládku do 1 km</t>
  </si>
  <si>
    <t>51,42</t>
  </si>
  <si>
    <t>103</t>
  </si>
  <si>
    <t>979081121R00</t>
  </si>
  <si>
    <t>Příplatek k odvozu za každý další 1 km</t>
  </si>
  <si>
    <t>51,42*13</t>
  </si>
  <si>
    <t>104</t>
  </si>
  <si>
    <t>979082111R00</t>
  </si>
  <si>
    <t>Vnitrostaveništní doprava suti do 10 m</t>
  </si>
  <si>
    <t>105</t>
  </si>
  <si>
    <t>979082121R00</t>
  </si>
  <si>
    <t>Příplatek k vnitrost. dopravě suti za dalších 5 m</t>
  </si>
  <si>
    <t>51,42*2</t>
  </si>
  <si>
    <t>106</t>
  </si>
  <si>
    <t>979086112R00</t>
  </si>
  <si>
    <t>Nakládání nebo překládání suti a vybouraných hmot</t>
  </si>
  <si>
    <t>107</t>
  </si>
  <si>
    <t>979990161R00</t>
  </si>
  <si>
    <t>Poplatek za uložení - dřevo, skupina odpadu 170201</t>
  </si>
  <si>
    <t>108</t>
  </si>
  <si>
    <t>979990105R00</t>
  </si>
  <si>
    <t>Poplatek za uložení suti - cihelné výrobky, skupina odpadu 170102</t>
  </si>
  <si>
    <t>109</t>
  </si>
  <si>
    <t>979951111R00</t>
  </si>
  <si>
    <t>Výkup kovů - železný šrot tl. do 4 mm</t>
  </si>
  <si>
    <t>110</t>
  </si>
  <si>
    <t>979990141R00</t>
  </si>
  <si>
    <t>Poplatek za uložení suti - polystyren+omítka, skupina odpadu 170604</t>
  </si>
  <si>
    <t>0,5</t>
  </si>
  <si>
    <t>Slepý stavební rozpočet (SO 02 - Hromosvod)</t>
  </si>
  <si>
    <t>M74</t>
  </si>
  <si>
    <t>Elektromontážní práce (silnoproud)</t>
  </si>
  <si>
    <t>740000002VD</t>
  </si>
  <si>
    <t>Hromosvod - samostatný rozpočet</t>
  </si>
  <si>
    <t>M74_</t>
  </si>
  <si>
    <t>SO 02_9_</t>
  </si>
  <si>
    <t>SO 02_</t>
  </si>
  <si>
    <t>D+M</t>
  </si>
  <si>
    <t>Slepý stavební rozpočet (VRN - VRN)</t>
  </si>
  <si>
    <t>VORN - Vedlejší a ostatní rozpočtové náklady</t>
  </si>
  <si>
    <t>01VRN</t>
  </si>
  <si>
    <t>010001VRN</t>
  </si>
  <si>
    <t>Soubor</t>
  </si>
  <si>
    <t>01VRN_</t>
  </si>
  <si>
    <t>VRN_ _</t>
  </si>
  <si>
    <t>VRN_</t>
  </si>
  <si>
    <t>Dokumentace stavby-Dílenská a výrobní dokumentace v potřebném rozsahu - zámečnických, klempířských prvků, truhlářských, PD lešení včetně návrhu kotevního plánu na základě statického výpočtu</t>
  </si>
  <si>
    <t>013002VRN</t>
  </si>
  <si>
    <t>Projektové práce</t>
  </si>
  <si>
    <t>Dokumentace skutečného provedení - Dokumentace skutečného provedení dle vyhlášky 499/2006, ve dvou listinných vyhotovení + 2x elektronické vyhotovení na CD</t>
  </si>
  <si>
    <t>03VRN</t>
  </si>
  <si>
    <t>030001VRN</t>
  </si>
  <si>
    <t>03VRN_</t>
  </si>
  <si>
    <t xml:space="preserve">náklady na oplocení staveniště
označení staveniště
náklady na stavební buňky
náklady na mobilní WC
náklady na energie pro stavbu
náklady na vyčištění a vyklizení staveniště
zajištění stavby pevnými zábranamy
zajištění vstupu na lešení
zajištění vstupu do objektu lávkami s dřevěným zábradlím dle požadavki KooBOZP
zapezpečení hlavních vstupů do objektu  z důvodů vyvěšení křídel a dodávky nových dveří
zhotovení ochranných záchytných stříšek lešení u hlavních vchodů do objektu
zabezpečení stavby proti zatečení dešťovými srážkami do objektu po celou dobu výstavby 
(v návaznosti na položku viz výše v kapitole 765 skládaná krytina  - pol. "Nouzové zakrytí střechy plachtou")
</t>
  </si>
  <si>
    <t>04VRN</t>
  </si>
  <si>
    <t>042002VRN</t>
  </si>
  <si>
    <t>Plány a posudky</t>
  </si>
  <si>
    <t>04VRN_</t>
  </si>
  <si>
    <t>Lešení (tahové zkoušky a zkoušky kotev)</t>
  </si>
  <si>
    <t>05VRN</t>
  </si>
  <si>
    <t>051002VRN</t>
  </si>
  <si>
    <t>Pojištění</t>
  </si>
  <si>
    <t>05VRN_</t>
  </si>
  <si>
    <t>Náklady spojené s pojištěním s pojištěním odpovědnosti za škodu, dle návrhu SOD</t>
  </si>
  <si>
    <t>056002VRN</t>
  </si>
  <si>
    <t>Bankovní záruka</t>
  </si>
  <si>
    <t>Náklady spojené se zřízením bankovních záruk, dle návrhu SOD</t>
  </si>
  <si>
    <t>07VRN</t>
  </si>
  <si>
    <t>071002VRN</t>
  </si>
  <si>
    <t>Provozní náklady investora a dalších osob</t>
  </si>
  <si>
    <t>07VRN_</t>
  </si>
  <si>
    <t xml:space="preserve">práce budou probíhat za provozu, mohou z toho vyplývat nějaká omezení - hlučnost, prašnost
přístup pracovníků na staveniště (půda, střecha, fasády) pouze po lešení
</t>
  </si>
  <si>
    <t>Slepý stavební rozpočet</t>
  </si>
  <si>
    <t>OPRAVA STŘECHY OBJEKTU UBYTOVNY SESTER Č.P. 506 - ODBORNÝ LÉČEBNÝ ÚSTAV JEVÍČKO</t>
  </si>
  <si>
    <t>Pardubický kraj, Komenského nám. 125, Pardubice</t>
  </si>
  <si>
    <t>17.01.2024</t>
  </si>
  <si>
    <t> </t>
  </si>
  <si>
    <t>Martin Černý,DiS.</t>
  </si>
  <si>
    <t>111</t>
  </si>
  <si>
    <t>112</t>
  </si>
  <si>
    <t>113</t>
  </si>
  <si>
    <t>114</t>
  </si>
  <si>
    <t>115</t>
  </si>
  <si>
    <t>116</t>
  </si>
  <si>
    <t>117</t>
  </si>
  <si>
    <t>118</t>
  </si>
  <si>
    <t>soub.</t>
  </si>
  <si>
    <t>Kontrola jímací soustavy</t>
  </si>
  <si>
    <t>7439-1</t>
  </si>
  <si>
    <t>Měření zemních odporů zemnnící sítě délky pásku do 200 m</t>
  </si>
  <si>
    <t>210 28-0223</t>
  </si>
  <si>
    <t>Příplatek za další zemnič v síti</t>
  </si>
  <si>
    <t>210 28-0215</t>
  </si>
  <si>
    <t>Měření zemních odporů zemniče prvního nebo samostatného</t>
  </si>
  <si>
    <t>210 28-0211</t>
  </si>
  <si>
    <t>Revize - hromosvod</t>
  </si>
  <si>
    <t>7439</t>
  </si>
  <si>
    <t>Zemnící tyč dl.2m, vč.připojovací svorky</t>
  </si>
  <si>
    <t>7435-10</t>
  </si>
  <si>
    <t>Drobný montážní materiál, který není obsažen v ceníku</t>
  </si>
  <si>
    <t>7435-9</t>
  </si>
  <si>
    <t>Popisný štítek</t>
  </si>
  <si>
    <t>7435-8</t>
  </si>
  <si>
    <t>Výstražná tabulka - Nebezpečí blesku</t>
  </si>
  <si>
    <t>7435-7</t>
  </si>
  <si>
    <t>Svorka SR 03</t>
  </si>
  <si>
    <t>7435-6</t>
  </si>
  <si>
    <t>Podpěra vedení PV11   N</t>
  </si>
  <si>
    <t>7435-5</t>
  </si>
  <si>
    <t>Popěra vedení PV15   N</t>
  </si>
  <si>
    <t>7435-4</t>
  </si>
  <si>
    <t>Svorka SJ1b   N</t>
  </si>
  <si>
    <t>354 41915</t>
  </si>
  <si>
    <t>Svorka SO   N</t>
  </si>
  <si>
    <t>354 41905</t>
  </si>
  <si>
    <t xml:space="preserve">jímací tyč dl. 2m, AlMgSi, kompletní </t>
  </si>
  <si>
    <t>7435-3</t>
  </si>
  <si>
    <t xml:space="preserve">jímací tyč dl. 1,5m, AlMgSi, kompletní </t>
  </si>
  <si>
    <t>7435-2</t>
  </si>
  <si>
    <t>Jímací tyč dl. 1m, AlMgSi, kompletní</t>
  </si>
  <si>
    <t>7435-1</t>
  </si>
  <si>
    <t>Svorka SK   N</t>
  </si>
  <si>
    <t>354 41875</t>
  </si>
  <si>
    <t>Držák OÚ do zdi N</t>
  </si>
  <si>
    <t>354 41840</t>
  </si>
  <si>
    <t>Ochranný úhelník OÚ  N</t>
  </si>
  <si>
    <t>354 41830</t>
  </si>
  <si>
    <t>Svorka zkušební  SZ   N</t>
  </si>
  <si>
    <t>354 41925</t>
  </si>
  <si>
    <t>Svorka SP1  N</t>
  </si>
  <si>
    <t>354 41895</t>
  </si>
  <si>
    <t>Svorka SS  N</t>
  </si>
  <si>
    <t>354 41885</t>
  </si>
  <si>
    <t>kg</t>
  </si>
  <si>
    <t>Zemnící drát FeZn 10</t>
  </si>
  <si>
    <t>Zemnící pásek FeZn 30/4</t>
  </si>
  <si>
    <t>Svorka ST N, upevnění svodu na okap. svody</t>
  </si>
  <si>
    <t>354 34919</t>
  </si>
  <si>
    <t>Podpěra vedení do zdi PV 01-35 N</t>
  </si>
  <si>
    <t>354 41451</t>
  </si>
  <si>
    <t>Jímací vodič CU8</t>
  </si>
  <si>
    <t>156 1526</t>
  </si>
  <si>
    <t>Hromosvod - nosný materiál</t>
  </si>
  <si>
    <t>7435</t>
  </si>
  <si>
    <t>Uložení zdemontoného materiálu na skládku</t>
  </si>
  <si>
    <t>7434-7</t>
  </si>
  <si>
    <t>Demontáž ochranného úhelníku</t>
  </si>
  <si>
    <t>7434-5</t>
  </si>
  <si>
    <t>Dtto  - ale nad 3 šrouby</t>
  </si>
  <si>
    <t>7434-4</t>
  </si>
  <si>
    <t>Demontáž hromosvodových svorek do 2 šroubů</t>
  </si>
  <si>
    <t>7434-3</t>
  </si>
  <si>
    <t>Demontáž jímacích tyčí do 3m</t>
  </si>
  <si>
    <t>7434-2</t>
  </si>
  <si>
    <t>Demontáž jímacího vedení vč.podpěr</t>
  </si>
  <si>
    <t>7434-1</t>
  </si>
  <si>
    <t>Hromosvod - demontáž</t>
  </si>
  <si>
    <t>7434</t>
  </si>
  <si>
    <t>Pasivní ochrana zemních svorek</t>
  </si>
  <si>
    <t>7433-3</t>
  </si>
  <si>
    <t>Úprava terénu se zhutněním</t>
  </si>
  <si>
    <t>460 62-0013</t>
  </si>
  <si>
    <t>Podkladová vrstva pod vč.zhutnění pod litý asfalt a beton, tl.do 10cm</t>
  </si>
  <si>
    <t>460 65-0042</t>
  </si>
  <si>
    <t>Odvoz zeminy přes 500m do 1000m</t>
  </si>
  <si>
    <t>460 60-0023</t>
  </si>
  <si>
    <t>Řezání spáry  v podkladu živičném tl.5cm</t>
  </si>
  <si>
    <t>460 03-0191</t>
  </si>
  <si>
    <t>Sejmutí živice do 5cm</t>
  </si>
  <si>
    <t>460 03-0171</t>
  </si>
  <si>
    <t>Vytyčení podzemních sítí / kabel nn,vodovod, sdělovací kabel /</t>
  </si>
  <si>
    <t>7433-2</t>
  </si>
  <si>
    <t>Zajištění výkopu výstražnou páskou</t>
  </si>
  <si>
    <t>7433-1</t>
  </si>
  <si>
    <t>Kladení dlažby vč.spárování, drobné kostky</t>
  </si>
  <si>
    <t>460 65 0152</t>
  </si>
  <si>
    <t>Zřízení podkladní vrstvy pod kostky, tl. do 10cm</t>
  </si>
  <si>
    <t>460 65 0031</t>
  </si>
  <si>
    <t>Rozebrání dlažeb - ručně, spáry zalité</t>
  </si>
  <si>
    <t>460 00 3041</t>
  </si>
  <si>
    <t>Zásyp rýh ručně šířky 35 cm, hloubky 50 cm, z horniny třídy 3</t>
  </si>
  <si>
    <t>460 56-0033</t>
  </si>
  <si>
    <t>Hloubení kabelových nezapažených rýh ručně š 35 cm, hl 50 cm, 
v hornině tř 3</t>
  </si>
  <si>
    <t>460 20-0133</t>
  </si>
  <si>
    <t>Zásyp jam ručně v hornině třídy 3</t>
  </si>
  <si>
    <t>460 12-0013</t>
  </si>
  <si>
    <t>Hloub. jamy ručně v tř. 3/ sondy  pro zjišt. polohy podzem.vedení
jáma pro montáž zem.t</t>
  </si>
  <si>
    <t>460 07-0753</t>
  </si>
  <si>
    <t>Hromosvod - zemní práce</t>
  </si>
  <si>
    <t>7433</t>
  </si>
  <si>
    <t>Měření zemního odporu při pokládce obvodového zemniče</t>
  </si>
  <si>
    <t>Zakreslení skutečného stavu ochrany před bleskem</t>
  </si>
  <si>
    <t>743-2</t>
  </si>
  <si>
    <t>hod</t>
  </si>
  <si>
    <t>Spolupráce montážní organizace s revizním technikem</t>
  </si>
  <si>
    <t>743-1</t>
  </si>
  <si>
    <t>Obsyp vedení Bentonitem</t>
  </si>
  <si>
    <t>210 22-0457</t>
  </si>
  <si>
    <t>Montáž zemnících tyčí do dl.2m</t>
  </si>
  <si>
    <t>210 22-0361</t>
  </si>
  <si>
    <t>Nátěr stáv.konzol, práce ve výškách, přesun materiálu, doprava</t>
  </si>
  <si>
    <t>743-3</t>
  </si>
  <si>
    <t>Montáž vedení hromosvodné - ochranného pospojování pevně</t>
  </si>
  <si>
    <t>210 22-0452</t>
  </si>
  <si>
    <t>Montáž vedení hromosvodné - ochranného pospojování
volně nebo pod omítku</t>
  </si>
  <si>
    <t>210 22-0451</t>
  </si>
  <si>
    <t>Montáž vedení hromosvodné - tvarování prvků</t>
  </si>
  <si>
    <t>210 22-0431</t>
  </si>
  <si>
    <t>Montáž vedení hromosvodné - štítků k označení svodů</t>
  </si>
  <si>
    <t>210 22-0401</t>
  </si>
  <si>
    <t>Montáž ochranných prvků - úhelníků nebo trubek do zdiva</t>
  </si>
  <si>
    <t>210 22-0372</t>
  </si>
  <si>
    <t>Montáž svorek hromosvodných typu ST, SJ, SK, SZ, SR 01, 02 
se 3 a více šrouby</t>
  </si>
  <si>
    <t>210 22-0302</t>
  </si>
  <si>
    <t>Montáž svorek hromosvodných typu SS, SR 03 se 2 šrouby</t>
  </si>
  <si>
    <t>210 22-0301</t>
  </si>
  <si>
    <t>Montáž tyčí jímacích na střešní hřeben do délky 3m</t>
  </si>
  <si>
    <t>210 22-0201</t>
  </si>
  <si>
    <t>Montáž tyčí jímacích délky do 3 m na konstrukci zděnou</t>
  </si>
  <si>
    <t>210 22-0212</t>
  </si>
  <si>
    <t>Montáž hromosvodného vedení svodových vodičů 
s podpěrami průměru do 10 mm</t>
  </si>
  <si>
    <t>210 22-0101</t>
  </si>
  <si>
    <t>Montáž uzemňovacího vedení vodičů FeZn pomocí svorek v zemi páskou do 120 mm2 ve městské zástavbě</t>
  </si>
  <si>
    <t>210 22-0020</t>
  </si>
  <si>
    <t>Hromosvod - montáž</t>
  </si>
  <si>
    <t>743</t>
  </si>
  <si>
    <t>celkem</t>
  </si>
  <si>
    <t>Jedn. cena</t>
  </si>
  <si>
    <t>Výměra</t>
  </si>
  <si>
    <t>Popis</t>
  </si>
  <si>
    <t>Položka</t>
  </si>
  <si>
    <t>K/P</t>
  </si>
  <si>
    <t>CENA  vč.  DPH</t>
  </si>
  <si>
    <t>Uzemnění +  hromosvod</t>
  </si>
  <si>
    <t>elektroinstalace  celkem</t>
  </si>
  <si>
    <t>hromosvod    celkem</t>
  </si>
  <si>
    <t>R E K A P I T U L A C E</t>
  </si>
  <si>
    <t>Pardubický kraj, Komenského náměstí, 532 11 Pardubice</t>
  </si>
  <si>
    <t>:</t>
  </si>
  <si>
    <t>Investor:</t>
  </si>
  <si>
    <t>Odborný léčebný ústav Jevíčko - ubytovna sester čp. 506</t>
  </si>
  <si>
    <t>Akce: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</si>
</sst>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8">
    <font>
      <sz val="8"/>
      <name val="Arial"/>
      <family val="2"/>
    </font>
    <font>
      <sz val="10"/>
      <name val="Arial"/>
      <family val="2"/>
    </font>
    <font>
      <sz val="11"/>
      <name val="Calibri"/>
      <family val="2"/>
    </font>
    <font>
      <sz val="18"/>
      <name val="Arial"/>
      <family val="2"/>
    </font>
    <font>
      <b/>
      <sz val="10"/>
      <name val="Arial"/>
      <family val="2"/>
    </font>
    <font>
      <b/>
      <sz val="18"/>
      <name val="Arial"/>
      <family val="2"/>
    </font>
    <font>
      <b/>
      <sz val="20"/>
      <name val="Arial"/>
      <family val="2"/>
    </font>
    <font>
      <b/>
      <sz val="11"/>
      <name val="Arial"/>
      <family val="2"/>
    </font>
    <font>
      <b/>
      <sz val="12"/>
      <name val="Arial"/>
      <family val="2"/>
    </font>
    <font>
      <sz val="12"/>
      <name val="Arial"/>
      <family val="2"/>
    </font>
    <font>
      <i/>
      <sz val="8"/>
      <name val="Arial"/>
      <family val="2"/>
    </font>
    <font>
      <i/>
      <sz val="10"/>
      <color indexed="12"/>
      <name val="Arial"/>
      <family val="2"/>
    </font>
    <font>
      <i/>
      <sz val="10"/>
      <name val="Arial"/>
      <family val="2"/>
    </font>
    <font>
      <i/>
      <sz val="10"/>
      <color indexed="16"/>
      <name val="Arial"/>
      <family val="2"/>
    </font>
    <font>
      <sz val="9"/>
      <name val="Arial"/>
      <family val="2"/>
    </font>
    <font>
      <b/>
      <sz val="9"/>
      <name val="Arial"/>
      <family val="2"/>
    </font>
    <font>
      <b/>
      <i/>
      <sz val="9"/>
      <name val="Arial"/>
      <family val="2"/>
    </font>
    <font>
      <sz val="11"/>
      <name val="Arial"/>
      <family val="2"/>
    </font>
  </fonts>
  <fills count="5">
    <fill>
      <patternFill/>
    </fill>
    <fill>
      <patternFill patternType="gray125"/>
    </fill>
    <fill>
      <patternFill patternType="solid">
        <fgColor indexed="22"/>
        <bgColor indexed="64"/>
      </patternFill>
    </fill>
    <fill>
      <patternFill patternType="solid">
        <fgColor indexed="15"/>
        <bgColor indexed="64"/>
      </patternFill>
    </fill>
    <fill>
      <patternFill patternType="solid">
        <fgColor rgb="FFFFFF00"/>
        <bgColor indexed="64"/>
      </patternFill>
    </fill>
  </fills>
  <borders count="43">
    <border>
      <left/>
      <right/>
      <top/>
      <bottom/>
      <diagonal/>
    </border>
    <border>
      <left/>
      <right style="thin">
        <color indexed="8"/>
      </right>
      <top/>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border>
    <border>
      <left/>
      <right style="thin">
        <color indexed="8"/>
      </right>
      <top/>
      <bottom style="thin">
        <color indexed="8"/>
      </bottom>
    </border>
    <border>
      <left style="thin">
        <color indexed="8"/>
      </left>
      <right style="thin">
        <color indexed="8"/>
      </right>
      <top/>
      <bottom style="thin">
        <color indexed="8"/>
      </bottom>
    </border>
    <border>
      <left/>
      <right style="thin">
        <color indexed="8"/>
      </right>
      <top/>
      <bottom style="medium">
        <color indexed="8"/>
      </bottom>
    </border>
    <border>
      <left/>
      <right style="medium">
        <color indexed="8"/>
      </right>
      <top style="medium">
        <color indexed="8"/>
      </top>
      <bottom style="thin">
        <color indexed="8"/>
      </bottom>
    </border>
    <border>
      <left/>
      <right style="medium">
        <color indexed="8"/>
      </right>
      <top style="medium">
        <color indexed="8"/>
      </top>
      <bottom style="medium">
        <color indexed="8"/>
      </bottom>
    </border>
    <border>
      <left style="medium">
        <color indexed="8"/>
      </left>
      <right style="thin">
        <color indexed="8"/>
      </right>
      <top style="medium">
        <color indexed="8"/>
      </top>
      <bottom/>
    </border>
    <border>
      <left style="medium">
        <color indexed="8"/>
      </left>
      <right style="medium">
        <color indexed="8"/>
      </right>
      <top style="medium">
        <color indexed="8"/>
      </top>
      <bottom/>
    </border>
    <border>
      <left style="medium">
        <color indexed="8"/>
      </left>
      <right style="thin">
        <color indexed="8"/>
      </right>
      <top/>
      <bottom style="medium">
        <color indexed="8"/>
      </bottom>
    </border>
    <border>
      <left/>
      <right style="medium">
        <color indexed="8"/>
      </right>
      <top/>
      <bottom style="medium">
        <color indexed="8"/>
      </bottom>
    </border>
    <border>
      <left style="thin">
        <color indexed="8"/>
      </left>
      <right/>
      <top/>
      <bottom/>
    </border>
    <border>
      <left style="thin">
        <color indexed="8"/>
      </left>
      <right/>
      <top/>
      <bottom style="thin">
        <color indexed="8"/>
      </bottom>
    </border>
    <border>
      <left/>
      <right/>
      <top/>
      <bottom style="thin">
        <color indexed="8"/>
      </bottom>
    </border>
    <border>
      <left style="thin">
        <color indexed="8"/>
      </left>
      <right style="thin">
        <color indexed="8"/>
      </right>
      <top style="medium">
        <color indexed="8"/>
      </top>
      <bottom/>
    </border>
    <border>
      <left/>
      <right style="thin">
        <color indexed="8"/>
      </right>
      <top style="medium">
        <color indexed="8"/>
      </top>
      <bottom/>
    </border>
    <border>
      <left/>
      <right/>
      <top style="medium">
        <color indexed="8"/>
      </top>
      <bottom/>
    </border>
    <border>
      <left style="thin">
        <color indexed="8"/>
      </left>
      <right style="thin">
        <color indexed="8"/>
      </right>
      <top/>
      <bottom style="medium">
        <color indexed="8"/>
      </bottom>
    </border>
    <border>
      <left/>
      <right/>
      <top/>
      <bottom style="medium">
        <color indexed="8"/>
      </bottom>
    </border>
    <border>
      <left style="medium">
        <color indexed="8"/>
      </left>
      <right style="medium">
        <color indexed="8"/>
      </right>
      <top/>
      <bottom style="medium">
        <color indexed="8"/>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style="thin">
        <color indexed="8"/>
      </top>
      <bottom style="thin">
        <color indexed="8"/>
      </bottom>
    </border>
    <border>
      <left/>
      <right/>
      <top style="thin">
        <color indexed="8"/>
      </top>
      <bottom style="thin">
        <color indexed="8"/>
      </bottom>
    </border>
    <border>
      <left/>
      <right style="medium">
        <color indexed="8"/>
      </right>
      <top style="medium">
        <color indexed="8"/>
      </top>
      <bottom/>
    </border>
    <border>
      <left style="medium">
        <color indexed="8"/>
      </left>
      <right style="medium">
        <color indexed="8"/>
      </right>
      <top/>
      <bottom/>
    </border>
    <border>
      <left/>
      <right style="medium">
        <color indexed="8"/>
      </right>
      <top/>
      <bottom/>
    </border>
    <border>
      <left style="medium">
        <color indexed="8"/>
      </left>
      <right style="medium">
        <color indexed="8"/>
      </right>
      <top style="medium">
        <color indexed="8"/>
      </top>
      <bottom style="thin">
        <color indexed="8"/>
      </bottom>
    </border>
    <border>
      <left style="medium">
        <color indexed="8"/>
      </left>
      <right style="medium">
        <color indexed="8"/>
      </right>
      <top style="medium">
        <color indexed="8"/>
      </top>
      <bottom style="medium">
        <color indexed="8"/>
      </bottom>
    </border>
    <border>
      <left/>
      <right/>
      <top style="medium">
        <color indexed="8"/>
      </top>
      <bottom style="thin">
        <color indexed="8"/>
      </bottom>
    </border>
    <border>
      <left style="thin"/>
      <right style="thin"/>
      <top style="thin"/>
      <bottom style="thin"/>
    </border>
    <border>
      <left/>
      <right style="medium"/>
      <top style="thin"/>
      <bottom style="medium"/>
    </border>
    <border>
      <left/>
      <right/>
      <top style="thin"/>
      <bottom style="medium"/>
    </border>
    <border>
      <left style="medium"/>
      <right/>
      <top style="thin"/>
      <bottom style="medium"/>
    </border>
    <border>
      <left/>
      <right style="medium"/>
      <top/>
      <bottom/>
    </border>
    <border>
      <left style="medium"/>
      <right/>
      <top/>
      <bottom/>
    </border>
    <border>
      <left/>
      <right style="medium"/>
      <top style="medium"/>
      <bottom style="double"/>
    </border>
    <border>
      <left/>
      <right/>
      <top style="medium"/>
      <bottom style="double"/>
    </border>
    <border>
      <left style="medium"/>
      <right/>
      <top style="medium"/>
      <bottom style="double"/>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cellStyleXfs>
  <cellXfs count="173">
    <xf numFmtId="0" fontId="0" fillId="0" borderId="0" xfId="0"/>
    <xf numFmtId="0" fontId="2" fillId="0" borderId="0" xfId="0" applyNumberFormat="1" applyFont="1" applyFill="1" applyBorder="1" applyAlignment="1" applyProtection="1">
      <alignment/>
      <protection/>
    </xf>
    <xf numFmtId="0" fontId="1" fillId="0" borderId="1"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left" vertical="center"/>
      <protection/>
    </xf>
    <xf numFmtId="0" fontId="6" fillId="2" borderId="2" xfId="0" applyNumberFormat="1" applyFont="1" applyFill="1" applyBorder="1" applyAlignment="1" applyProtection="1">
      <alignment horizontal="center" vertical="center"/>
      <protection/>
    </xf>
    <xf numFmtId="0" fontId="6" fillId="2" borderId="3" xfId="0" applyNumberFormat="1" applyFont="1" applyFill="1" applyBorder="1" applyAlignment="1" applyProtection="1">
      <alignment horizontal="center" vertical="center"/>
      <protection/>
    </xf>
    <xf numFmtId="0" fontId="8" fillId="0" borderId="4" xfId="0" applyNumberFormat="1" applyFont="1" applyFill="1" applyBorder="1" applyAlignment="1" applyProtection="1">
      <alignment horizontal="left" vertical="center"/>
      <protection/>
    </xf>
    <xf numFmtId="0" fontId="9" fillId="0" borderId="5" xfId="0" applyNumberFormat="1" applyFont="1" applyFill="1" applyBorder="1" applyAlignment="1" applyProtection="1">
      <alignment horizontal="left" vertical="center"/>
      <protection/>
    </xf>
    <xf numFmtId="4" fontId="9" fillId="0" borderId="5" xfId="0" applyNumberFormat="1" applyFont="1" applyFill="1" applyBorder="1" applyAlignment="1" applyProtection="1">
      <alignment horizontal="right" vertical="center"/>
      <protection/>
    </xf>
    <xf numFmtId="0" fontId="9" fillId="0" borderId="5" xfId="0" applyNumberFormat="1" applyFont="1" applyFill="1" applyBorder="1" applyAlignment="1" applyProtection="1">
      <alignment horizontal="right" vertical="center"/>
      <protection/>
    </xf>
    <xf numFmtId="0" fontId="8" fillId="0" borderId="6" xfId="0" applyNumberFormat="1" applyFont="1" applyFill="1" applyBorder="1" applyAlignment="1" applyProtection="1">
      <alignment horizontal="left" vertical="center"/>
      <protection/>
    </xf>
    <xf numFmtId="4" fontId="9" fillId="0" borderId="1" xfId="0" applyNumberFormat="1" applyFont="1" applyFill="1" applyBorder="1" applyAlignment="1" applyProtection="1">
      <alignment horizontal="right" vertical="center"/>
      <protection/>
    </xf>
    <xf numFmtId="0" fontId="9" fillId="0" borderId="1" xfId="0" applyNumberFormat="1" applyFont="1" applyFill="1" applyBorder="1" applyAlignment="1" applyProtection="1">
      <alignment horizontal="right" vertical="center"/>
      <protection/>
    </xf>
    <xf numFmtId="4" fontId="9" fillId="0" borderId="3" xfId="0" applyNumberFormat="1" applyFont="1" applyFill="1" applyBorder="1" applyAlignment="1" applyProtection="1">
      <alignment horizontal="right" vertical="center"/>
      <protection/>
    </xf>
    <xf numFmtId="4" fontId="9" fillId="0" borderId="7" xfId="0" applyNumberFormat="1" applyFont="1" applyFill="1" applyBorder="1" applyAlignment="1" applyProtection="1">
      <alignment horizontal="right" vertical="center"/>
      <protection/>
    </xf>
    <xf numFmtId="4" fontId="8" fillId="2" borderId="3" xfId="0" applyNumberFormat="1" applyFont="1" applyFill="1" applyBorder="1" applyAlignment="1" applyProtection="1">
      <alignment horizontal="right" vertical="center"/>
      <protection/>
    </xf>
    <xf numFmtId="4" fontId="8" fillId="2" borderId="5" xfId="0" applyNumberFormat="1" applyFont="1" applyFill="1" applyBorder="1" applyAlignment="1" applyProtection="1">
      <alignment horizontal="right" vertical="center"/>
      <protection/>
    </xf>
    <xf numFmtId="0" fontId="10" fillId="0" borderId="0" xfId="0" applyNumberFormat="1" applyFont="1" applyFill="1" applyBorder="1" applyAlignment="1" applyProtection="1">
      <alignment horizontal="left" vertical="center"/>
      <protection/>
    </xf>
    <xf numFmtId="0" fontId="4" fillId="0" borderId="8" xfId="0" applyNumberFormat="1" applyFont="1" applyFill="1" applyBorder="1" applyAlignment="1" applyProtection="1">
      <alignment horizontal="right" vertical="center"/>
      <protection/>
    </xf>
    <xf numFmtId="4" fontId="1" fillId="0" borderId="5" xfId="0" applyNumberFormat="1" applyFont="1" applyFill="1" applyBorder="1" applyAlignment="1" applyProtection="1">
      <alignment horizontal="right" vertical="center"/>
      <protection/>
    </xf>
    <xf numFmtId="0" fontId="1" fillId="0" borderId="5" xfId="0" applyNumberFormat="1" applyFont="1" applyFill="1" applyBorder="1" applyAlignment="1" applyProtection="1">
      <alignment horizontal="left" vertical="center"/>
      <protection/>
    </xf>
    <xf numFmtId="4" fontId="1" fillId="0" borderId="1" xfId="0" applyNumberFormat="1" applyFont="1" applyFill="1" applyBorder="1" applyAlignment="1" applyProtection="1">
      <alignment horizontal="right" vertical="center"/>
      <protection/>
    </xf>
    <xf numFmtId="0" fontId="4" fillId="0" borderId="9" xfId="0" applyNumberFormat="1" applyFont="1" applyFill="1" applyBorder="1" applyAlignment="1" applyProtection="1">
      <alignment horizontal="left" vertical="center"/>
      <protection/>
    </xf>
    <xf numFmtId="0" fontId="4" fillId="0" borderId="9" xfId="0" applyNumberFormat="1" applyFont="1" applyFill="1" applyBorder="1" applyAlignment="1" applyProtection="1">
      <alignment horizontal="right" vertical="center"/>
      <protection/>
    </xf>
    <xf numFmtId="4" fontId="4" fillId="0" borderId="9" xfId="0" applyNumberFormat="1" applyFont="1" applyFill="1" applyBorder="1" applyAlignment="1" applyProtection="1">
      <alignment horizontal="right" vertical="center"/>
      <protection/>
    </xf>
    <xf numFmtId="0" fontId="1" fillId="0" borderId="10" xfId="0" applyNumberFormat="1" applyFont="1" applyFill="1" applyBorder="1" applyAlignment="1" applyProtection="1">
      <alignment horizontal="left" vertical="center"/>
      <protection/>
    </xf>
    <xf numFmtId="0" fontId="4" fillId="0" borderId="11" xfId="0" applyNumberFormat="1" applyFont="1" applyFill="1" applyBorder="1" applyAlignment="1" applyProtection="1">
      <alignment horizontal="center" vertical="center"/>
      <protection/>
    </xf>
    <xf numFmtId="0" fontId="4" fillId="0" borderId="8"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left" vertical="center"/>
      <protection/>
    </xf>
    <xf numFmtId="0" fontId="4" fillId="0" borderId="13"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left" vertical="center"/>
      <protection/>
    </xf>
    <xf numFmtId="4" fontId="1" fillId="0" borderId="0" xfId="0" applyNumberFormat="1" applyFont="1" applyFill="1" applyBorder="1" applyAlignment="1" applyProtection="1">
      <alignment horizontal="right" vertical="center"/>
      <protection/>
    </xf>
    <xf numFmtId="0" fontId="1" fillId="0" borderId="0" xfId="0" applyNumberFormat="1" applyFont="1" applyFill="1" applyBorder="1" applyAlignment="1" applyProtection="1">
      <alignment horizontal="right" vertical="center"/>
      <protection/>
    </xf>
    <xf numFmtId="0" fontId="1" fillId="0" borderId="15" xfId="0" applyNumberFormat="1" applyFont="1" applyFill="1" applyBorder="1" applyAlignment="1" applyProtection="1">
      <alignment horizontal="left" vertical="center"/>
      <protection/>
    </xf>
    <xf numFmtId="4" fontId="1" fillId="0" borderId="16" xfId="0" applyNumberFormat="1" applyFont="1" applyFill="1" applyBorder="1" applyAlignment="1" applyProtection="1">
      <alignment horizontal="right" vertical="center"/>
      <protection/>
    </xf>
    <xf numFmtId="4" fontId="4" fillId="0" borderId="0" xfId="0" applyNumberFormat="1" applyFont="1" applyFill="1" applyBorder="1" applyAlignment="1" applyProtection="1">
      <alignment horizontal="right" vertical="center"/>
      <protection/>
    </xf>
    <xf numFmtId="4" fontId="4" fillId="2" borderId="0" xfId="0" applyNumberFormat="1" applyFont="1" applyFill="1" applyBorder="1" applyAlignment="1" applyProtection="1">
      <alignment horizontal="right" vertical="center"/>
      <protection/>
    </xf>
    <xf numFmtId="0" fontId="4" fillId="0" borderId="17" xfId="0" applyNumberFormat="1" applyFont="1" applyFill="1" applyBorder="1" applyAlignment="1" applyProtection="1">
      <alignment horizontal="left" vertical="center"/>
      <protection/>
    </xf>
    <xf numFmtId="0" fontId="4" fillId="0" borderId="18" xfId="0" applyNumberFormat="1" applyFont="1" applyFill="1" applyBorder="1" applyAlignment="1" applyProtection="1">
      <alignment horizontal="left" vertical="center"/>
      <protection/>
    </xf>
    <xf numFmtId="0" fontId="4" fillId="0" borderId="18"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protection/>
    </xf>
    <xf numFmtId="0" fontId="4" fillId="2" borderId="0"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horizontal="right" vertical="center"/>
      <protection/>
    </xf>
    <xf numFmtId="0" fontId="1" fillId="0" borderId="20" xfId="0" applyNumberFormat="1" applyFont="1" applyFill="1" applyBorder="1" applyAlignment="1" applyProtection="1">
      <alignment horizontal="left" vertical="center"/>
      <protection/>
    </xf>
    <xf numFmtId="0" fontId="1" fillId="0" borderId="7" xfId="0" applyNumberFormat="1" applyFont="1" applyFill="1" applyBorder="1" applyAlignment="1" applyProtection="1">
      <alignment horizontal="left" vertical="center"/>
      <protection/>
    </xf>
    <xf numFmtId="0" fontId="4" fillId="0" borderId="7"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protection/>
    </xf>
    <xf numFmtId="0" fontId="1" fillId="3" borderId="14" xfId="0" applyNumberFormat="1" applyFont="1" applyFill="1" applyBorder="1" applyAlignment="1" applyProtection="1">
      <alignment horizontal="left" vertical="center"/>
      <protection/>
    </xf>
    <xf numFmtId="0" fontId="4" fillId="3" borderId="0" xfId="0" applyNumberFormat="1" applyFont="1" applyFill="1" applyBorder="1" applyAlignment="1" applyProtection="1">
      <alignment horizontal="left" vertical="center"/>
      <protection/>
    </xf>
    <xf numFmtId="0" fontId="1" fillId="3" borderId="0" xfId="0" applyNumberFormat="1" applyFont="1" applyFill="1" applyBorder="1" applyAlignment="1" applyProtection="1">
      <alignment horizontal="left" vertical="center"/>
      <protection/>
    </xf>
    <xf numFmtId="4" fontId="4" fillId="3" borderId="0" xfId="0" applyNumberFormat="1" applyFont="1" applyFill="1" applyBorder="1" applyAlignment="1" applyProtection="1">
      <alignment horizontal="right" vertical="center"/>
      <protection/>
    </xf>
    <xf numFmtId="0" fontId="4" fillId="3" borderId="0" xfId="0" applyNumberFormat="1" applyFont="1" applyFill="1" applyBorder="1" applyAlignment="1" applyProtection="1">
      <alignment horizontal="right" vertical="center"/>
      <protection/>
    </xf>
    <xf numFmtId="0" fontId="4" fillId="3" borderId="1" xfId="0" applyNumberFormat="1" applyFont="1" applyFill="1" applyBorder="1" applyAlignment="1" applyProtection="1">
      <alignment horizontal="right" vertical="center"/>
      <protection/>
    </xf>
    <xf numFmtId="0" fontId="1" fillId="2" borderId="14" xfId="0" applyNumberFormat="1" applyFont="1" applyFill="1" applyBorder="1" applyAlignment="1" applyProtection="1">
      <alignment horizontal="left" vertical="center"/>
      <protection/>
    </xf>
    <xf numFmtId="0" fontId="4" fillId="2" borderId="0" xfId="0" applyNumberFormat="1" applyFont="1" applyFill="1" applyBorder="1" applyAlignment="1" applyProtection="1">
      <alignment horizontal="left" vertical="center"/>
      <protection/>
    </xf>
    <xf numFmtId="0" fontId="1" fillId="2" borderId="0" xfId="0" applyNumberFormat="1" applyFont="1" applyFill="1" applyBorder="1" applyAlignment="1" applyProtection="1">
      <alignment horizontal="left" vertical="center"/>
      <protection/>
    </xf>
    <xf numFmtId="0" fontId="4" fillId="2" borderId="1" xfId="0" applyNumberFormat="1" applyFont="1" applyFill="1" applyBorder="1" applyAlignment="1" applyProtection="1">
      <alignment horizontal="right" vertical="center"/>
      <protection/>
    </xf>
    <xf numFmtId="0" fontId="1" fillId="0" borderId="1" xfId="0" applyNumberFormat="1" applyFont="1" applyFill="1" applyBorder="1" applyAlignment="1" applyProtection="1">
      <alignment horizontal="right" vertical="center"/>
      <protection/>
    </xf>
    <xf numFmtId="0" fontId="2" fillId="0" borderId="14" xfId="0" applyNumberFormat="1" applyFont="1" applyFill="1" applyBorder="1" applyAlignment="1" applyProtection="1">
      <alignment/>
      <protection/>
    </xf>
    <xf numFmtId="0" fontId="11" fillId="0" borderId="0" xfId="0" applyNumberFormat="1" applyFont="1" applyFill="1" applyBorder="1" applyAlignment="1" applyProtection="1">
      <alignment horizontal="left" vertical="center"/>
      <protection/>
    </xf>
    <xf numFmtId="0" fontId="12" fillId="0" borderId="0" xfId="0" applyNumberFormat="1" applyFont="1" applyFill="1" applyBorder="1" applyAlignment="1" applyProtection="1">
      <alignment horizontal="left" vertical="center"/>
      <protection/>
    </xf>
    <xf numFmtId="4" fontId="11" fillId="0" borderId="0" xfId="0" applyNumberFormat="1" applyFont="1" applyFill="1" applyBorder="1" applyAlignment="1" applyProtection="1">
      <alignment horizontal="right" vertical="center"/>
      <protection/>
    </xf>
    <xf numFmtId="0" fontId="2" fillId="0" borderId="1" xfId="0" applyNumberFormat="1" applyFont="1" applyFill="1" applyBorder="1" applyAlignment="1" applyProtection="1">
      <alignment/>
      <protection/>
    </xf>
    <xf numFmtId="0" fontId="2" fillId="0" borderId="15" xfId="0" applyNumberFormat="1" applyFont="1" applyFill="1" applyBorder="1" applyAlignment="1" applyProtection="1">
      <alignment/>
      <protection/>
    </xf>
    <xf numFmtId="0" fontId="2" fillId="0" borderId="16" xfId="0" applyNumberFormat="1" applyFont="1" applyFill="1" applyBorder="1" applyAlignment="1" applyProtection="1">
      <alignment/>
      <protection/>
    </xf>
    <xf numFmtId="0" fontId="11" fillId="0" borderId="16" xfId="0" applyNumberFormat="1" applyFont="1" applyFill="1" applyBorder="1" applyAlignment="1" applyProtection="1">
      <alignment horizontal="left" vertical="center"/>
      <protection/>
    </xf>
    <xf numFmtId="0" fontId="12" fillId="0" borderId="16" xfId="0" applyNumberFormat="1" applyFont="1" applyFill="1" applyBorder="1" applyAlignment="1" applyProtection="1">
      <alignment horizontal="left" vertical="center"/>
      <protection/>
    </xf>
    <xf numFmtId="4" fontId="11" fillId="0" borderId="16" xfId="0" applyNumberFormat="1" applyFont="1" applyFill="1" applyBorder="1" applyAlignment="1" applyProtection="1">
      <alignment horizontal="right" vertical="center"/>
      <protection/>
    </xf>
    <xf numFmtId="0" fontId="2" fillId="0" borderId="5" xfId="0" applyNumberFormat="1" applyFont="1" applyFill="1" applyBorder="1" applyAlignment="1" applyProtection="1">
      <alignment/>
      <protection/>
    </xf>
    <xf numFmtId="0" fontId="4" fillId="0" borderId="22"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wrapText="1"/>
      <protection/>
    </xf>
    <xf numFmtId="0" fontId="1" fillId="0" borderId="23" xfId="0" applyNumberFormat="1" applyFont="1" applyFill="1" applyBorder="1" applyAlignment="1" applyProtection="1">
      <alignment horizontal="left" vertical="center" wrapText="1"/>
      <protection/>
    </xf>
    <xf numFmtId="0" fontId="4" fillId="0" borderId="24" xfId="0" applyNumberFormat="1" applyFont="1" applyFill="1" applyBorder="1" applyAlignment="1" applyProtection="1">
      <alignment horizontal="left" vertical="center" wrapText="1"/>
      <protection/>
    </xf>
    <xf numFmtId="0" fontId="1" fillId="0" borderId="24" xfId="0" applyNumberFormat="1" applyFont="1" applyFill="1" applyBorder="1" applyAlignment="1" applyProtection="1">
      <alignment horizontal="left" vertical="center" wrapText="1"/>
      <protection/>
    </xf>
    <xf numFmtId="0" fontId="1" fillId="0" borderId="25" xfId="0" applyNumberFormat="1" applyFont="1" applyFill="1" applyBorder="1" applyAlignment="1" applyProtection="1">
      <alignment horizontal="left" vertical="center"/>
      <protection/>
    </xf>
    <xf numFmtId="0" fontId="1" fillId="0" borderId="14"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left" vertical="center" wrapText="1"/>
      <protection/>
    </xf>
    <xf numFmtId="0" fontId="1" fillId="0" borderId="1"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left" vertical="center"/>
      <protection/>
    </xf>
    <xf numFmtId="1" fontId="1" fillId="0" borderId="1" xfId="0" applyNumberFormat="1" applyFont="1" applyFill="1" applyBorder="1" applyAlignment="1" applyProtection="1">
      <alignment horizontal="left" vertical="center"/>
      <protection/>
    </xf>
    <xf numFmtId="0" fontId="1" fillId="0" borderId="15" xfId="0" applyNumberFormat="1" applyFont="1" applyFill="1" applyBorder="1" applyAlignment="1" applyProtection="1">
      <alignment horizontal="left" vertical="center" wrapText="1"/>
      <protection/>
    </xf>
    <xf numFmtId="0" fontId="1" fillId="0" borderId="16" xfId="0" applyNumberFormat="1" applyFont="1" applyFill="1" applyBorder="1" applyAlignment="1" applyProtection="1">
      <alignment horizontal="left" vertical="center" wrapText="1"/>
      <protection/>
    </xf>
    <xf numFmtId="0" fontId="1" fillId="0" borderId="16" xfId="0" applyNumberFormat="1" applyFont="1" applyFill="1" applyBorder="1" applyAlignment="1" applyProtection="1">
      <alignment horizontal="left" vertical="center"/>
      <protection/>
    </xf>
    <xf numFmtId="0" fontId="1" fillId="0" borderId="5"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center" vertical="center"/>
      <protection/>
    </xf>
    <xf numFmtId="0" fontId="7" fillId="0" borderId="3" xfId="0" applyNumberFormat="1" applyFont="1" applyFill="1" applyBorder="1" applyAlignment="1" applyProtection="1">
      <alignment horizontal="left" vertical="center"/>
      <protection/>
    </xf>
    <xf numFmtId="0" fontId="9" fillId="0" borderId="5" xfId="0" applyNumberFormat="1" applyFont="1" applyFill="1" applyBorder="1" applyAlignment="1" applyProtection="1">
      <alignment horizontal="left" vertical="center"/>
      <protection/>
    </xf>
    <xf numFmtId="0" fontId="8" fillId="0" borderId="6" xfId="0" applyNumberFormat="1" applyFont="1" applyFill="1" applyBorder="1" applyAlignment="1" applyProtection="1">
      <alignment horizontal="left" vertical="center"/>
      <protection/>
    </xf>
    <xf numFmtId="0" fontId="8" fillId="0" borderId="4"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left" vertical="center"/>
      <protection/>
    </xf>
    <xf numFmtId="0" fontId="8" fillId="0" borderId="2" xfId="0" applyNumberFormat="1" applyFont="1" applyFill="1" applyBorder="1" applyAlignment="1" applyProtection="1">
      <alignment horizontal="left" vertical="center"/>
      <protection/>
    </xf>
    <xf numFmtId="0" fontId="8" fillId="0" borderId="3" xfId="0" applyNumberFormat="1" applyFont="1" applyFill="1" applyBorder="1" applyAlignment="1" applyProtection="1">
      <alignment horizontal="left" vertical="center"/>
      <protection/>
    </xf>
    <xf numFmtId="0" fontId="8" fillId="0" borderId="5" xfId="0" applyNumberFormat="1" applyFont="1" applyFill="1" applyBorder="1" applyAlignment="1" applyProtection="1">
      <alignment horizontal="left" vertical="center"/>
      <protection/>
    </xf>
    <xf numFmtId="0" fontId="8" fillId="2" borderId="26" xfId="0" applyNumberFormat="1" applyFont="1" applyFill="1" applyBorder="1" applyAlignment="1" applyProtection="1">
      <alignment horizontal="left" vertical="center"/>
      <protection/>
    </xf>
    <xf numFmtId="0" fontId="8" fillId="2" borderId="15" xfId="0" applyNumberFormat="1" applyFont="1" applyFill="1" applyBorder="1" applyAlignment="1" applyProtection="1">
      <alignment horizontal="left" vertical="center"/>
      <protection/>
    </xf>
    <xf numFmtId="0" fontId="8" fillId="2" borderId="27" xfId="0" applyNumberFormat="1" applyFont="1" applyFill="1" applyBorder="1" applyAlignment="1" applyProtection="1">
      <alignment horizontal="left" vertical="center"/>
      <protection/>
    </xf>
    <xf numFmtId="0" fontId="8" fillId="2" borderId="16" xfId="0" applyNumberFormat="1" applyFont="1" applyFill="1" applyBorder="1" applyAlignment="1" applyProtection="1">
      <alignment horizontal="left" vertical="center"/>
      <protection/>
    </xf>
    <xf numFmtId="0" fontId="9" fillId="0" borderId="11" xfId="0" applyNumberFormat="1" applyFont="1" applyFill="1" applyBorder="1" applyAlignment="1" applyProtection="1">
      <alignment horizontal="left" vertical="center"/>
      <protection/>
    </xf>
    <xf numFmtId="0" fontId="9" fillId="0" borderId="28" xfId="0" applyNumberFormat="1" applyFont="1" applyFill="1" applyBorder="1" applyAlignment="1" applyProtection="1">
      <alignment horizontal="left" vertical="center"/>
      <protection/>
    </xf>
    <xf numFmtId="0" fontId="9" fillId="0" borderId="29" xfId="0" applyNumberFormat="1" applyFont="1" applyFill="1" applyBorder="1" applyAlignment="1" applyProtection="1">
      <alignment horizontal="left" vertical="center"/>
      <protection/>
    </xf>
    <xf numFmtId="0" fontId="9" fillId="0" borderId="30" xfId="0" applyNumberFormat="1" applyFont="1" applyFill="1" applyBorder="1" applyAlignment="1" applyProtection="1">
      <alignment horizontal="left" vertical="center"/>
      <protection/>
    </xf>
    <xf numFmtId="0" fontId="9" fillId="0" borderId="22" xfId="0" applyNumberFormat="1" applyFont="1" applyFill="1" applyBorder="1" applyAlignment="1" applyProtection="1">
      <alignment horizontal="left" vertical="center"/>
      <protection/>
    </xf>
    <xf numFmtId="0" fontId="9" fillId="0" borderId="13"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horizontal="left" vertical="center"/>
      <protection/>
    </xf>
    <xf numFmtId="0" fontId="4" fillId="0" borderId="31" xfId="0" applyNumberFormat="1" applyFont="1" applyFill="1" applyBorder="1" applyAlignment="1" applyProtection="1">
      <alignment horizontal="left" vertical="center"/>
      <protection/>
    </xf>
    <xf numFmtId="0" fontId="1" fillId="0" borderId="6" xfId="0" applyNumberFormat="1" applyFont="1" applyFill="1" applyBorder="1" applyAlignment="1" applyProtection="1">
      <alignment horizontal="left" vertical="center"/>
      <protection/>
    </xf>
    <xf numFmtId="0" fontId="1" fillId="0" borderId="4" xfId="0" applyNumberFormat="1" applyFont="1" applyFill="1" applyBorder="1" applyAlignment="1" applyProtection="1">
      <alignment horizontal="left" vertical="center"/>
      <protection/>
    </xf>
    <xf numFmtId="0" fontId="4" fillId="0" borderId="32" xfId="0" applyNumberFormat="1" applyFont="1" applyFill="1" applyBorder="1" applyAlignment="1" applyProtection="1">
      <alignment horizontal="left" vertical="center"/>
      <protection/>
    </xf>
    <xf numFmtId="0" fontId="8" fillId="0" borderId="32" xfId="0" applyNumberFormat="1" applyFont="1" applyFill="1" applyBorder="1" applyAlignment="1" applyProtection="1">
      <alignment horizontal="left" vertical="center"/>
      <protection/>
    </xf>
    <xf numFmtId="4" fontId="8" fillId="0" borderId="9" xfId="0" applyNumberFormat="1" applyFont="1" applyFill="1" applyBorder="1" applyAlignment="1" applyProtection="1">
      <alignment horizontal="right" vertical="center"/>
      <protection/>
    </xf>
    <xf numFmtId="0" fontId="3" fillId="0" borderId="0" xfId="0" applyNumberFormat="1" applyFont="1" applyFill="1" applyBorder="1" applyAlignment="1" applyProtection="1">
      <alignment horizontal="center" vertical="center"/>
      <protection/>
    </xf>
    <xf numFmtId="0" fontId="1" fillId="0" borderId="25" xfId="0" applyNumberFormat="1" applyFont="1" applyFill="1" applyBorder="1" applyAlignment="1" applyProtection="1">
      <alignment horizontal="left" vertical="center" wrapText="1"/>
      <protection/>
    </xf>
    <xf numFmtId="0" fontId="1" fillId="0" borderId="1" xfId="0" applyNumberFormat="1" applyFont="1" applyFill="1" applyBorder="1" applyAlignment="1" applyProtection="1">
      <alignment horizontal="left" vertical="center" wrapText="1"/>
      <protection/>
    </xf>
    <xf numFmtId="0" fontId="1" fillId="0" borderId="19" xfId="0" applyNumberFormat="1" applyFont="1" applyFill="1" applyBorder="1" applyAlignment="1" applyProtection="1">
      <alignment horizontal="left" vertical="center"/>
      <protection/>
    </xf>
    <xf numFmtId="0" fontId="4" fillId="0" borderId="7"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left" vertical="center"/>
      <protection/>
    </xf>
    <xf numFmtId="0" fontId="1" fillId="0" borderId="24" xfId="0" applyNumberFormat="1" applyFont="1" applyFill="1" applyBorder="1" applyAlignment="1" applyProtection="1">
      <alignment horizontal="left" vertical="center"/>
      <protection/>
    </xf>
    <xf numFmtId="0" fontId="4" fillId="0" borderId="18" xfId="0" applyNumberFormat="1" applyFont="1" applyFill="1" applyBorder="1" applyAlignment="1" applyProtection="1">
      <alignment horizontal="left" vertical="center"/>
      <protection/>
    </xf>
    <xf numFmtId="0" fontId="4" fillId="0" borderId="33" xfId="0" applyNumberFormat="1" applyFont="1" applyFill="1" applyBorder="1" applyAlignment="1" applyProtection="1">
      <alignment horizontal="center" vertical="center"/>
      <protection/>
    </xf>
    <xf numFmtId="0" fontId="4" fillId="3" borderId="0" xfId="0" applyNumberFormat="1" applyFont="1" applyFill="1" applyBorder="1" applyAlignment="1" applyProtection="1">
      <alignment horizontal="left" vertical="center" wrapText="1"/>
      <protection/>
    </xf>
    <xf numFmtId="0" fontId="4" fillId="2" borderId="0" xfId="0" applyNumberFormat="1" applyFont="1" applyFill="1" applyBorder="1" applyAlignment="1" applyProtection="1">
      <alignment horizontal="left" vertical="center" wrapText="1"/>
      <protection/>
    </xf>
    <xf numFmtId="0" fontId="13" fillId="0" borderId="1" xfId="0" applyNumberFormat="1" applyFont="1" applyFill="1" applyBorder="1" applyAlignment="1" applyProtection="1">
      <alignment horizontal="left" vertical="center" wrapText="1"/>
      <protection/>
    </xf>
    <xf numFmtId="0" fontId="14" fillId="0" borderId="0" xfId="20" applyFont="1">
      <alignment/>
      <protection/>
    </xf>
    <xf numFmtId="3" fontId="14" fillId="0" borderId="0" xfId="20" applyNumberFormat="1" applyFont="1" applyAlignment="1">
      <alignment horizontal="right"/>
      <protection/>
    </xf>
    <xf numFmtId="4" fontId="14" fillId="0" borderId="0" xfId="20" applyNumberFormat="1" applyFont="1" applyAlignment="1">
      <alignment horizontal="right"/>
      <protection/>
    </xf>
    <xf numFmtId="164" fontId="14" fillId="0" borderId="0" xfId="20" applyNumberFormat="1" applyFont="1" applyAlignment="1">
      <alignment horizontal="right"/>
      <protection/>
    </xf>
    <xf numFmtId="49" fontId="14" fillId="0" borderId="0" xfId="20" applyNumberFormat="1" applyFont="1" applyAlignment="1">
      <alignment horizontal="left"/>
      <protection/>
    </xf>
    <xf numFmtId="0" fontId="14" fillId="4" borderId="0" xfId="20" applyFont="1" applyFill="1">
      <alignment/>
      <protection/>
    </xf>
    <xf numFmtId="3" fontId="4" fillId="0" borderId="0" xfId="20" applyNumberFormat="1" applyFont="1" applyAlignment="1">
      <alignment horizontal="right"/>
      <protection/>
    </xf>
    <xf numFmtId="49" fontId="15" fillId="0" borderId="0" xfId="20" applyNumberFormat="1" applyFont="1" applyAlignment="1">
      <alignment horizontal="left"/>
      <protection/>
    </xf>
    <xf numFmtId="49" fontId="4" fillId="0" borderId="0" xfId="20" applyNumberFormat="1" applyFont="1" applyAlignment="1">
      <alignment horizontal="left"/>
      <protection/>
    </xf>
    <xf numFmtId="49" fontId="14" fillId="0" borderId="0" xfId="20" applyNumberFormat="1" applyFont="1" applyAlignment="1">
      <alignment horizontal="center"/>
      <protection/>
    </xf>
    <xf numFmtId="49" fontId="14" fillId="0" borderId="0" xfId="20" applyNumberFormat="1" applyFont="1" applyAlignment="1">
      <alignment horizontal="left" wrapText="1"/>
      <protection/>
    </xf>
    <xf numFmtId="49" fontId="0" fillId="0" borderId="0" xfId="20" applyNumberFormat="1" applyFont="1" applyAlignment="1">
      <alignment horizontal="left"/>
      <protection/>
    </xf>
    <xf numFmtId="0" fontId="15" fillId="0" borderId="0" xfId="20" applyFont="1">
      <alignment/>
      <protection/>
    </xf>
    <xf numFmtId="0" fontId="15" fillId="4" borderId="0" xfId="20" applyFont="1" applyFill="1">
      <alignment/>
      <protection/>
    </xf>
    <xf numFmtId="3" fontId="15" fillId="0" borderId="0" xfId="20" applyNumberFormat="1" applyFont="1" applyAlignment="1">
      <alignment horizontal="right"/>
      <protection/>
    </xf>
    <xf numFmtId="4" fontId="15" fillId="0" borderId="0" xfId="20" applyNumberFormat="1" applyFont="1" applyAlignment="1">
      <alignment horizontal="right"/>
      <protection/>
    </xf>
    <xf numFmtId="164" fontId="15" fillId="0" borderId="0" xfId="20" applyNumberFormat="1" applyFont="1" applyAlignment="1">
      <alignment horizontal="right"/>
      <protection/>
    </xf>
    <xf numFmtId="49" fontId="15" fillId="0" borderId="0" xfId="20" applyNumberFormat="1" applyFont="1" applyAlignment="1">
      <alignment horizontal="center"/>
      <protection/>
    </xf>
    <xf numFmtId="49" fontId="15" fillId="0" borderId="0" xfId="20" applyNumberFormat="1" applyFont="1" applyAlignment="1">
      <alignment horizontal="left" wrapText="1"/>
      <protection/>
    </xf>
    <xf numFmtId="3" fontId="14" fillId="0" borderId="0" xfId="20" applyNumberFormat="1" applyFont="1">
      <alignment/>
      <protection/>
    </xf>
    <xf numFmtId="3" fontId="15" fillId="0" borderId="0" xfId="20" applyNumberFormat="1" applyFont="1">
      <alignment/>
      <protection/>
    </xf>
    <xf numFmtId="49" fontId="15" fillId="0" borderId="0" xfId="20" applyNumberFormat="1" applyFont="1">
      <alignment/>
      <protection/>
    </xf>
    <xf numFmtId="49" fontId="15" fillId="0" borderId="34" xfId="20" applyNumberFormat="1" applyFont="1" applyBorder="1" applyAlignment="1">
      <alignment horizontal="center"/>
      <protection/>
    </xf>
    <xf numFmtId="49" fontId="15" fillId="0" borderId="34" xfId="20" applyNumberFormat="1" applyFont="1" applyBorder="1" applyAlignment="1">
      <alignment horizontal="left"/>
      <protection/>
    </xf>
    <xf numFmtId="0" fontId="4" fillId="0" borderId="0" xfId="20" applyFont="1">
      <alignment/>
      <protection/>
    </xf>
    <xf numFmtId="4" fontId="4" fillId="0" borderId="0" xfId="20" applyNumberFormat="1" applyFont="1" applyAlignment="1">
      <alignment horizontal="right"/>
      <protection/>
    </xf>
    <xf numFmtId="164" fontId="4" fillId="0" borderId="0" xfId="20" applyNumberFormat="1" applyFont="1" applyAlignment="1">
      <alignment horizontal="right"/>
      <protection/>
    </xf>
    <xf numFmtId="0" fontId="1" fillId="0" borderId="0" xfId="20" applyFont="1">
      <alignment/>
      <protection/>
    </xf>
    <xf numFmtId="3" fontId="8" fillId="0" borderId="35" xfId="20" applyNumberFormat="1" applyFont="1" applyBorder="1" applyAlignment="1">
      <alignment horizontal="right"/>
      <protection/>
    </xf>
    <xf numFmtId="4" fontId="4" fillId="0" borderId="36" xfId="20" applyNumberFormat="1" applyFont="1" applyBorder="1" applyAlignment="1">
      <alignment horizontal="right"/>
      <protection/>
    </xf>
    <xf numFmtId="164" fontId="4" fillId="0" borderId="36" xfId="20" applyNumberFormat="1" applyFont="1" applyBorder="1" applyAlignment="1">
      <alignment horizontal="right"/>
      <protection/>
    </xf>
    <xf numFmtId="49" fontId="4" fillId="0" borderId="36" xfId="20" applyNumberFormat="1" applyFont="1" applyBorder="1" applyAlignment="1">
      <alignment horizontal="left"/>
      <protection/>
    </xf>
    <xf numFmtId="49" fontId="4" fillId="0" borderId="37" xfId="20" applyNumberFormat="1" applyFont="1" applyBorder="1" applyAlignment="1">
      <alignment horizontal="left"/>
      <protection/>
    </xf>
    <xf numFmtId="3" fontId="14" fillId="0" borderId="38" xfId="20" applyNumberFormat="1" applyFont="1" applyBorder="1" applyAlignment="1">
      <alignment horizontal="right"/>
      <protection/>
    </xf>
    <xf numFmtId="49" fontId="14" fillId="0" borderId="39" xfId="20" applyNumberFormat="1" applyFont="1" applyBorder="1" applyAlignment="1">
      <alignment horizontal="left"/>
      <protection/>
    </xf>
    <xf numFmtId="3" fontId="15" fillId="0" borderId="38" xfId="20" applyNumberFormat="1" applyFont="1" applyBorder="1" applyAlignment="1">
      <alignment horizontal="right"/>
      <protection/>
    </xf>
    <xf numFmtId="0" fontId="16" fillId="0" borderId="0" xfId="20" applyFont="1">
      <alignment/>
      <protection/>
    </xf>
    <xf numFmtId="3" fontId="16" fillId="0" borderId="40" xfId="20" applyNumberFormat="1" applyFont="1" applyBorder="1" applyAlignment="1">
      <alignment horizontal="right"/>
      <protection/>
    </xf>
    <xf numFmtId="4" fontId="16" fillId="0" borderId="41" xfId="20" applyNumberFormat="1" applyFont="1" applyBorder="1" applyAlignment="1">
      <alignment horizontal="right"/>
      <protection/>
    </xf>
    <xf numFmtId="164" fontId="16" fillId="0" borderId="41" xfId="20" applyNumberFormat="1" applyFont="1" applyBorder="1" applyAlignment="1">
      <alignment horizontal="right"/>
      <protection/>
    </xf>
    <xf numFmtId="49" fontId="16" fillId="0" borderId="41" xfId="20" applyNumberFormat="1" applyFont="1" applyBorder="1" applyAlignment="1">
      <alignment horizontal="left"/>
      <protection/>
    </xf>
    <xf numFmtId="49" fontId="16" fillId="0" borderId="42" xfId="20" applyNumberFormat="1" applyFont="1" applyBorder="1" applyAlignment="1">
      <alignment horizontal="left"/>
      <protection/>
    </xf>
    <xf numFmtId="49" fontId="16" fillId="0" borderId="0" xfId="20" applyNumberFormat="1" applyFont="1" applyAlignment="1">
      <alignment horizontal="left"/>
      <protection/>
    </xf>
    <xf numFmtId="49" fontId="17" fillId="0" borderId="0" xfId="20" applyNumberFormat="1" applyFont="1" applyAlignment="1">
      <alignment horizontal="left"/>
      <protection/>
    </xf>
    <xf numFmtId="49" fontId="7" fillId="0" borderId="0" xfId="20" applyNumberFormat="1" applyFont="1" applyAlignment="1">
      <alignment horizontal="left"/>
      <protection/>
    </xf>
    <xf numFmtId="4" fontId="14" fillId="0" borderId="0" xfId="20" applyNumberFormat="1" applyFont="1" applyAlignment="1" applyProtection="1">
      <alignment horizontal="right"/>
      <protection locked="0"/>
    </xf>
    <xf numFmtId="4" fontId="1" fillId="0" borderId="0" xfId="0" applyNumberFormat="1" applyFont="1" applyFill="1" applyBorder="1" applyAlignment="1" applyProtection="1">
      <alignment horizontal="right" vertical="center"/>
      <protection locked="0"/>
    </xf>
    <xf numFmtId="0" fontId="0" fillId="0" borderId="0" xfId="0" applyProtection="1">
      <protection/>
    </xf>
    <xf numFmtId="4" fontId="1" fillId="0" borderId="0" xfId="0" applyNumberFormat="1" applyFont="1" applyFill="1" applyBorder="1" applyAlignment="1" applyProtection="1">
      <alignment horizontal="right" vertical="center"/>
      <protection locked="0"/>
    </xf>
  </cellXfs>
  <cellStyles count="7">
    <cellStyle name="Normal" xfId="0"/>
    <cellStyle name="Percent" xfId="15"/>
    <cellStyle name="Currency" xfId="16"/>
    <cellStyle name="Currency [0]" xfId="17"/>
    <cellStyle name="Comma" xfId="18"/>
    <cellStyle name="Comma [0]" xfId="19"/>
    <cellStyle name="Normální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57150</xdr:colOff>
      <xdr:row>0</xdr:row>
      <xdr:rowOff>666750</xdr:rowOff>
    </xdr:to>
    <xdr:pic>
      <xdr:nvPicPr>
        <xdr:cNvPr id="2049" name="Picture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666750" cy="6667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400050</xdr:colOff>
      <xdr:row>0</xdr:row>
      <xdr:rowOff>666750</xdr:rowOff>
    </xdr:to>
    <xdr:pic>
      <xdr:nvPicPr>
        <xdr:cNvPr id="2" name="Picture 1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666750" cy="6667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400050</xdr:colOff>
      <xdr:row>0</xdr:row>
      <xdr:rowOff>666750</xdr:rowOff>
    </xdr:to>
    <xdr:pic>
      <xdr:nvPicPr>
        <xdr:cNvPr id="7169" name="Picture 1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666750" cy="6667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
  <sheetViews>
    <sheetView showOutlineSymbols="0" workbookViewId="0" topLeftCell="A1">
      <selection activeCell="L18" sqref="L18"/>
    </sheetView>
  </sheetViews>
  <sheetFormatPr defaultColWidth="14.16015625" defaultRowHeight="15" customHeight="1"/>
  <cols>
    <col min="1" max="1" width="10.66015625" style="1" customWidth="1"/>
    <col min="2" max="2" width="15" style="1" customWidth="1"/>
    <col min="3" max="3" width="31.66015625" style="1" customWidth="1"/>
    <col min="4" max="4" width="11.66015625" style="1" customWidth="1"/>
    <col min="5" max="5" width="16.33203125" style="1" customWidth="1"/>
    <col min="6" max="6" width="31.66015625" style="1" customWidth="1"/>
    <col min="7" max="7" width="10.66015625" style="1" customWidth="1"/>
    <col min="8" max="8" width="15" style="1" customWidth="1"/>
    <col min="9" max="9" width="31.66015625" style="1" customWidth="1"/>
    <col min="10" max="16384" width="14.16015625" style="171" customWidth="1"/>
  </cols>
  <sheetData>
    <row r="1" spans="1:9" ht="54.75" customHeight="1">
      <c r="A1" s="72" t="s">
        <v>0</v>
      </c>
      <c r="B1" s="72"/>
      <c r="C1" s="72"/>
      <c r="D1" s="72"/>
      <c r="E1" s="72"/>
      <c r="F1" s="72"/>
      <c r="G1" s="72"/>
      <c r="H1" s="72"/>
      <c r="I1" s="72"/>
    </row>
    <row r="2" spans="1:9" ht="15" customHeight="1">
      <c r="A2" s="73" t="s">
        <v>1</v>
      </c>
      <c r="B2" s="73"/>
      <c r="C2" s="74" t="str">
        <f>'Stavební rozpočet'!D2</f>
        <v>OPRAVA STŘECHY OBJEKTU UBYTOVNY SESTER Č.P. 506 - ODBORNÝ LÉČEBNÝ ÚSTAV JEVÍČKO</v>
      </c>
      <c r="D2" s="74"/>
      <c r="E2" s="75" t="s">
        <v>2</v>
      </c>
      <c r="F2" s="75" t="str">
        <f>'Stavební rozpočet'!J2</f>
        <v>Pardubický kraj, Komenského nám. 125, Pardubice</v>
      </c>
      <c r="G2" s="75"/>
      <c r="H2" s="75" t="s">
        <v>3</v>
      </c>
      <c r="I2" s="76"/>
    </row>
    <row r="3" spans="1:9" ht="25.5" customHeight="1">
      <c r="A3" s="73"/>
      <c r="B3" s="73"/>
      <c r="C3" s="74"/>
      <c r="D3" s="74"/>
      <c r="E3" s="75"/>
      <c r="F3" s="75"/>
      <c r="G3" s="75"/>
      <c r="H3" s="75"/>
      <c r="I3" s="76"/>
    </row>
    <row r="4" spans="1:9" ht="15" customHeight="1">
      <c r="A4" s="77" t="s">
        <v>4</v>
      </c>
      <c r="B4" s="77"/>
      <c r="C4" s="78" t="str">
        <f>'Stavební rozpočet'!D4</f>
        <v xml:space="preserve"> </v>
      </c>
      <c r="D4" s="78"/>
      <c r="E4" s="78" t="s">
        <v>5</v>
      </c>
      <c r="F4" s="78" t="str">
        <f>'Stavební rozpočet'!J4</f>
        <v> </v>
      </c>
      <c r="G4" s="78"/>
      <c r="H4" s="78" t="s">
        <v>3</v>
      </c>
      <c r="I4" s="79"/>
    </row>
    <row r="5" spans="1:9" ht="15" customHeight="1">
      <c r="A5" s="77"/>
      <c r="B5" s="77"/>
      <c r="C5" s="78"/>
      <c r="D5" s="78"/>
      <c r="E5" s="78"/>
      <c r="F5" s="78"/>
      <c r="G5" s="78"/>
      <c r="H5" s="78"/>
      <c r="I5" s="79"/>
    </row>
    <row r="6" spans="1:9" ht="15" customHeight="1">
      <c r="A6" s="77" t="s">
        <v>6</v>
      </c>
      <c r="B6" s="77"/>
      <c r="C6" s="78" t="str">
        <f>'Stavební rozpočet'!D6</f>
        <v xml:space="preserve"> </v>
      </c>
      <c r="D6" s="78"/>
      <c r="E6" s="78" t="s">
        <v>7</v>
      </c>
      <c r="F6" s="78" t="str">
        <f>'Stavební rozpočet'!J6</f>
        <v> </v>
      </c>
      <c r="G6" s="78"/>
      <c r="H6" s="78" t="s">
        <v>3</v>
      </c>
      <c r="I6" s="79"/>
    </row>
    <row r="7" spans="1:9" ht="15" customHeight="1">
      <c r="A7" s="77"/>
      <c r="B7" s="77"/>
      <c r="C7" s="78"/>
      <c r="D7" s="78"/>
      <c r="E7" s="78"/>
      <c r="F7" s="78"/>
      <c r="G7" s="78"/>
      <c r="H7" s="78"/>
      <c r="I7" s="79"/>
    </row>
    <row r="8" spans="1:9" ht="15" customHeight="1">
      <c r="A8" s="77" t="s">
        <v>8</v>
      </c>
      <c r="B8" s="77"/>
      <c r="C8" s="78" t="str">
        <f>'Stavební rozpočet'!H4</f>
        <v>17.01.2024</v>
      </c>
      <c r="D8" s="78"/>
      <c r="E8" s="78" t="s">
        <v>9</v>
      </c>
      <c r="F8" s="78" t="str">
        <f>'Stavební rozpočet'!H6</f>
        <v xml:space="preserve"> </v>
      </c>
      <c r="G8" s="78"/>
      <c r="H8" s="80" t="s">
        <v>10</v>
      </c>
      <c r="I8" s="81">
        <v>118</v>
      </c>
    </row>
    <row r="9" spans="1:9" ht="15" customHeight="1">
      <c r="A9" s="77"/>
      <c r="B9" s="77"/>
      <c r="C9" s="78"/>
      <c r="D9" s="78"/>
      <c r="E9" s="78"/>
      <c r="F9" s="78"/>
      <c r="G9" s="78"/>
      <c r="H9" s="80"/>
      <c r="I9" s="81"/>
    </row>
    <row r="10" spans="1:9" ht="15" customHeight="1">
      <c r="A10" s="82" t="s">
        <v>11</v>
      </c>
      <c r="B10" s="82"/>
      <c r="C10" s="83" t="str">
        <f>'Stavební rozpočet'!D8</f>
        <v xml:space="preserve"> </v>
      </c>
      <c r="D10" s="83"/>
      <c r="E10" s="83" t="s">
        <v>12</v>
      </c>
      <c r="F10" s="83" t="str">
        <f>'Stavební rozpočet'!J8</f>
        <v>Martin Černý,DiS.</v>
      </c>
      <c r="G10" s="83"/>
      <c r="H10" s="84" t="s">
        <v>13</v>
      </c>
      <c r="I10" s="85" t="str">
        <f>'Stavební rozpočet'!H8</f>
        <v>17.01.2024</v>
      </c>
    </row>
    <row r="11" spans="1:9" ht="15" customHeight="1">
      <c r="A11" s="82"/>
      <c r="B11" s="82"/>
      <c r="C11" s="83"/>
      <c r="D11" s="83"/>
      <c r="E11" s="83"/>
      <c r="F11" s="83"/>
      <c r="G11" s="83"/>
      <c r="H11" s="84"/>
      <c r="I11" s="85"/>
    </row>
    <row r="12" spans="1:9" ht="22.5" customHeight="1">
      <c r="A12" s="86" t="s">
        <v>14</v>
      </c>
      <c r="B12" s="86"/>
      <c r="C12" s="86"/>
      <c r="D12" s="86"/>
      <c r="E12" s="86"/>
      <c r="F12" s="86"/>
      <c r="G12" s="86"/>
      <c r="H12" s="86"/>
      <c r="I12" s="86"/>
    </row>
    <row r="13" spans="1:9" ht="26.25" customHeight="1">
      <c r="A13" s="4" t="s">
        <v>15</v>
      </c>
      <c r="B13" s="87" t="s">
        <v>16</v>
      </c>
      <c r="C13" s="87"/>
      <c r="D13" s="5" t="s">
        <v>17</v>
      </c>
      <c r="E13" s="87" t="s">
        <v>18</v>
      </c>
      <c r="F13" s="87"/>
      <c r="G13" s="5" t="s">
        <v>19</v>
      </c>
      <c r="H13" s="87" t="s">
        <v>20</v>
      </c>
      <c r="I13" s="87"/>
    </row>
    <row r="14" spans="1:9" ht="15" customHeight="1">
      <c r="A14" s="6" t="s">
        <v>21</v>
      </c>
      <c r="B14" s="7" t="s">
        <v>22</v>
      </c>
      <c r="C14" s="8">
        <f>SUM('Stavební rozpočet (SO 01)'!AB12:AB330)+SUM('Stavební rozpočet (SO 02)'!AB12:AB330)+SUM('Stavební rozpočet (VRN)'!AB12:AB330)</f>
        <v>0</v>
      </c>
      <c r="D14" s="88" t="s">
        <v>23</v>
      </c>
      <c r="E14" s="88"/>
      <c r="F14" s="8">
        <f>VORN!I15</f>
        <v>0</v>
      </c>
      <c r="G14" s="88" t="s">
        <v>24</v>
      </c>
      <c r="H14" s="88"/>
      <c r="I14" s="9">
        <f>VORN!I21</f>
        <v>0</v>
      </c>
    </row>
    <row r="15" spans="1:9" ht="15" customHeight="1">
      <c r="A15" s="10"/>
      <c r="B15" s="7" t="s">
        <v>25</v>
      </c>
      <c r="C15" s="8">
        <f>SUM('Stavební rozpočet (SO 01)'!AC12:AC330)+SUM('Stavební rozpočet (SO 02)'!AC12:AC330)+SUM('Stavební rozpočet (VRN)'!AC12:AC330)</f>
        <v>0</v>
      </c>
      <c r="D15" s="88" t="s">
        <v>26</v>
      </c>
      <c r="E15" s="88"/>
      <c r="F15" s="8">
        <f>VORN!I16</f>
        <v>0</v>
      </c>
      <c r="G15" s="88" t="s">
        <v>27</v>
      </c>
      <c r="H15" s="88"/>
      <c r="I15" s="9">
        <f>VORN!I22</f>
        <v>0</v>
      </c>
    </row>
    <row r="16" spans="1:9" ht="15" customHeight="1">
      <c r="A16" s="6" t="s">
        <v>28</v>
      </c>
      <c r="B16" s="7" t="s">
        <v>22</v>
      </c>
      <c r="C16" s="8">
        <f>SUM('Stavební rozpočet (SO 01)'!AD12:AD330)+SUM('Stavební rozpočet (SO 02)'!AD12:AD330)+SUM('Stavební rozpočet (VRN)'!AD12:AD330)</f>
        <v>0</v>
      </c>
      <c r="D16" s="88" t="s">
        <v>29</v>
      </c>
      <c r="E16" s="88"/>
      <c r="F16" s="8">
        <f>VORN!I17</f>
        <v>0</v>
      </c>
      <c r="G16" s="88" t="s">
        <v>30</v>
      </c>
      <c r="H16" s="88"/>
      <c r="I16" s="9">
        <f>VORN!I23</f>
        <v>0</v>
      </c>
    </row>
    <row r="17" spans="1:9" ht="15" customHeight="1">
      <c r="A17" s="10"/>
      <c r="B17" s="7" t="s">
        <v>25</v>
      </c>
      <c r="C17" s="8">
        <f>SUM('Stavební rozpočet (SO 01)'!AE12:AE330)+SUM('Stavební rozpočet (SO 02)'!AE12:AE330)+SUM('Stavební rozpočet (VRN)'!AE12:AE330)</f>
        <v>0</v>
      </c>
      <c r="D17" s="88"/>
      <c r="E17" s="88"/>
      <c r="F17" s="9"/>
      <c r="G17" s="88" t="s">
        <v>31</v>
      </c>
      <c r="H17" s="88"/>
      <c r="I17" s="9">
        <f>VORN!I24</f>
        <v>0</v>
      </c>
    </row>
    <row r="18" spans="1:9" ht="15" customHeight="1">
      <c r="A18" s="6" t="s">
        <v>32</v>
      </c>
      <c r="B18" s="7" t="s">
        <v>22</v>
      </c>
      <c r="C18" s="8">
        <f>SUM('Stavební rozpočet (SO 01)'!AF12:AF330)+SUM('Stavební rozpočet (SO 02)'!AF12:AF330)+SUM('Stavební rozpočet (VRN)'!AF12:AF330)</f>
        <v>0</v>
      </c>
      <c r="D18" s="88"/>
      <c r="E18" s="88"/>
      <c r="F18" s="9"/>
      <c r="G18" s="88" t="s">
        <v>33</v>
      </c>
      <c r="H18" s="88"/>
      <c r="I18" s="9">
        <f>VORN!I25</f>
        <v>0</v>
      </c>
    </row>
    <row r="19" spans="1:9" ht="15" customHeight="1">
      <c r="A19" s="10"/>
      <c r="B19" s="7" t="s">
        <v>25</v>
      </c>
      <c r="C19" s="8">
        <f>SUM('Stavební rozpočet (SO 01)'!AG12:AG330)+SUM('Stavební rozpočet (SO 02)'!AG12:AG330)+SUM('Stavební rozpočet (VRN)'!AG12:AG330)</f>
        <v>0</v>
      </c>
      <c r="D19" s="88"/>
      <c r="E19" s="88"/>
      <c r="F19" s="9"/>
      <c r="G19" s="88" t="s">
        <v>34</v>
      </c>
      <c r="H19" s="88"/>
      <c r="I19" s="9">
        <f>VORN!I26</f>
        <v>0</v>
      </c>
    </row>
    <row r="20" spans="1:9" ht="15" customHeight="1">
      <c r="A20" s="89" t="s">
        <v>35</v>
      </c>
      <c r="B20" s="89"/>
      <c r="C20" s="8">
        <f>SUM('Stavební rozpočet (SO 01)'!AH12:AH330)+SUM('Stavební rozpočet (SO 02)'!AH12:AH330)+SUM('Stavební rozpočet (VRN)'!AH12:AH330)</f>
        <v>0</v>
      </c>
      <c r="D20" s="88"/>
      <c r="E20" s="88"/>
      <c r="F20" s="9"/>
      <c r="G20" s="88"/>
      <c r="H20" s="88"/>
      <c r="I20" s="9"/>
    </row>
    <row r="21" spans="1:9" ht="15" customHeight="1">
      <c r="A21" s="90" t="s">
        <v>36</v>
      </c>
      <c r="B21" s="90"/>
      <c r="C21" s="11">
        <f>SUM('Stavební rozpočet (SO 01)'!Z12:Z330)+SUM('Stavební rozpočet (SO 02)'!Z12:Z330)+SUM('Stavební rozpočet (VRN)'!Z12:Z330)</f>
        <v>0</v>
      </c>
      <c r="D21" s="91"/>
      <c r="E21" s="91"/>
      <c r="F21" s="12"/>
      <c r="G21" s="91"/>
      <c r="H21" s="91"/>
      <c r="I21" s="12"/>
    </row>
    <row r="22" spans="1:9" ht="16.5" customHeight="1">
      <c r="A22" s="92" t="s">
        <v>37</v>
      </c>
      <c r="B22" s="92"/>
      <c r="C22" s="13">
        <f>ROUND(SUM(C14:C21),0)</f>
        <v>0</v>
      </c>
      <c r="D22" s="93" t="s">
        <v>38</v>
      </c>
      <c r="E22" s="93"/>
      <c r="F22" s="13">
        <f>SUM(F14:F21)</f>
        <v>0</v>
      </c>
      <c r="G22" s="93" t="s">
        <v>39</v>
      </c>
      <c r="H22" s="93"/>
      <c r="I22" s="13">
        <f>SUM(I14:I21)</f>
        <v>0</v>
      </c>
    </row>
    <row r="23" spans="4:9" ht="15" customHeight="1">
      <c r="D23" s="89" t="s">
        <v>40</v>
      </c>
      <c r="E23" s="89"/>
      <c r="F23" s="14">
        <v>0</v>
      </c>
      <c r="G23" s="94" t="s">
        <v>41</v>
      </c>
      <c r="H23" s="94"/>
      <c r="I23" s="8">
        <v>0</v>
      </c>
    </row>
    <row r="24" spans="7:9" ht="15" customHeight="1">
      <c r="G24" s="89" t="s">
        <v>42</v>
      </c>
      <c r="H24" s="89"/>
      <c r="I24" s="11">
        <f>vorn_sum</f>
        <v>0</v>
      </c>
    </row>
    <row r="25" spans="7:9" ht="15" customHeight="1">
      <c r="G25" s="89" t="s">
        <v>43</v>
      </c>
      <c r="H25" s="89"/>
      <c r="I25" s="13">
        <v>0</v>
      </c>
    </row>
    <row r="27" spans="1:3" ht="15" customHeight="1">
      <c r="A27" s="95" t="s">
        <v>44</v>
      </c>
      <c r="B27" s="95"/>
      <c r="C27" s="15">
        <f>ROUND(SUM('Stavební rozpočet (SO 01)'!AJ12:AJ330),0)+ROUND(SUM('Stavební rozpočet (SO 02)'!AJ12:AJ330),0)+ROUND(SUM('Stavební rozpočet (VRN)'!AJ12:AJ330),0)</f>
        <v>0</v>
      </c>
    </row>
    <row r="28" spans="1:9" ht="15" customHeight="1">
      <c r="A28" s="96" t="s">
        <v>45</v>
      </c>
      <c r="B28" s="96"/>
      <c r="C28" s="16">
        <f>ROUND(SUM('Stavební rozpočet (SO 01)'!AK12:AK330),0)+ROUND(SUM('Stavební rozpočet (SO 02)'!AK12:AK330),0)+ROUND(SUM('Stavební rozpočet (VRN)'!AK12:AK330),0)</f>
        <v>0</v>
      </c>
      <c r="D28" s="97" t="s">
        <v>46</v>
      </c>
      <c r="E28" s="97"/>
      <c r="F28" s="15">
        <f>ROUND(C28*(12/100),2)</f>
        <v>0</v>
      </c>
      <c r="G28" s="97" t="s">
        <v>47</v>
      </c>
      <c r="H28" s="97"/>
      <c r="I28" s="15">
        <f>ROUND(SUM(C27:C29),0)</f>
        <v>0</v>
      </c>
    </row>
    <row r="29" spans="1:9" ht="15" customHeight="1">
      <c r="A29" s="96" t="s">
        <v>48</v>
      </c>
      <c r="B29" s="96"/>
      <c r="C29" s="16">
        <f>ROUND(SUM('Stavební rozpočet (SO 01)'!AL12:AL330),0)+ROUND(SUM('Stavební rozpočet (SO 02)'!AL12:AL330),0)+ROUND(SUM('Stavební rozpočet (VRN)'!AL12:AL330),0)</f>
        <v>0</v>
      </c>
      <c r="D29" s="98" t="s">
        <v>49</v>
      </c>
      <c r="E29" s="98"/>
      <c r="F29" s="16">
        <f>ROUND(C29*(21/100),2)</f>
        <v>0</v>
      </c>
      <c r="G29" s="98" t="s">
        <v>50</v>
      </c>
      <c r="H29" s="98"/>
      <c r="I29" s="16">
        <f>ROUND(SUM(F28:F29)+I28,0)</f>
        <v>0</v>
      </c>
    </row>
    <row r="31" spans="1:9" ht="15" customHeight="1">
      <c r="A31" s="99" t="s">
        <v>51</v>
      </c>
      <c r="B31" s="99"/>
      <c r="C31" s="99"/>
      <c r="D31" s="100" t="s">
        <v>52</v>
      </c>
      <c r="E31" s="100"/>
      <c r="F31" s="100"/>
      <c r="G31" s="100" t="s">
        <v>53</v>
      </c>
      <c r="H31" s="100"/>
      <c r="I31" s="100"/>
    </row>
    <row r="32" spans="1:9" ht="15" customHeight="1">
      <c r="A32" s="101"/>
      <c r="B32" s="101"/>
      <c r="C32" s="101"/>
      <c r="D32" s="102"/>
      <c r="E32" s="102"/>
      <c r="F32" s="102"/>
      <c r="G32" s="102"/>
      <c r="H32" s="102"/>
      <c r="I32" s="102"/>
    </row>
    <row r="33" spans="1:9" ht="15" customHeight="1">
      <c r="A33" s="101"/>
      <c r="B33" s="101"/>
      <c r="C33" s="101"/>
      <c r="D33" s="102"/>
      <c r="E33" s="102"/>
      <c r="F33" s="102"/>
      <c r="G33" s="102"/>
      <c r="H33" s="102"/>
      <c r="I33" s="102"/>
    </row>
    <row r="34" spans="1:9" ht="15" customHeight="1">
      <c r="A34" s="101"/>
      <c r="B34" s="101"/>
      <c r="C34" s="101"/>
      <c r="D34" s="102"/>
      <c r="E34" s="102"/>
      <c r="F34" s="102"/>
      <c r="G34" s="102"/>
      <c r="H34" s="102"/>
      <c r="I34" s="102"/>
    </row>
    <row r="35" spans="1:9" ht="15" customHeight="1">
      <c r="A35" s="103" t="s">
        <v>54</v>
      </c>
      <c r="B35" s="103"/>
      <c r="C35" s="103"/>
      <c r="D35" s="104" t="s">
        <v>54</v>
      </c>
      <c r="E35" s="104"/>
      <c r="F35" s="104"/>
      <c r="G35" s="104" t="s">
        <v>54</v>
      </c>
      <c r="H35" s="104"/>
      <c r="I35" s="104"/>
    </row>
    <row r="36" ht="15" customHeight="1">
      <c r="A36" s="17" t="s">
        <v>55</v>
      </c>
    </row>
    <row r="37" spans="1:9" ht="13.5" customHeight="1">
      <c r="A37" s="78" t="s">
        <v>56</v>
      </c>
      <c r="B37" s="78"/>
      <c r="C37" s="78"/>
      <c r="D37" s="78"/>
      <c r="E37" s="78"/>
      <c r="F37" s="78"/>
      <c r="G37" s="78"/>
      <c r="H37" s="78"/>
      <c r="I37" s="78"/>
    </row>
  </sheetData>
  <sheetProtection algorithmName="SHA-512" hashValue="uGCKAItxVxII2uoLDSZAevwOEcoTuF6k8KJQ9YfSKpcNfTk6DHjqrUxgeqmmQYJzbLTly7QI3v6j7Mnzj2y35Q==" saltValue="wrxKe5ONhFWGLR68lsECdg==" spinCount="100000" sheet="1" objects="1" scenarios="1"/>
  <mergeCells count="83">
    <mergeCell ref="A37:I37"/>
    <mergeCell ref="A34:C34"/>
    <mergeCell ref="D34:F34"/>
    <mergeCell ref="G34:I34"/>
    <mergeCell ref="A35:C35"/>
    <mergeCell ref="D35:F35"/>
    <mergeCell ref="G35:I35"/>
    <mergeCell ref="A32:C32"/>
    <mergeCell ref="D32:F32"/>
    <mergeCell ref="G32:I32"/>
    <mergeCell ref="A33:C33"/>
    <mergeCell ref="D33:F33"/>
    <mergeCell ref="G33:I33"/>
    <mergeCell ref="A29:B29"/>
    <mergeCell ref="D29:E29"/>
    <mergeCell ref="G29:H29"/>
    <mergeCell ref="A31:C31"/>
    <mergeCell ref="D31:F31"/>
    <mergeCell ref="G31:I31"/>
    <mergeCell ref="D23:E23"/>
    <mergeCell ref="G23:H23"/>
    <mergeCell ref="G24:H24"/>
    <mergeCell ref="G25:H25"/>
    <mergeCell ref="A27:B27"/>
    <mergeCell ref="A28:B28"/>
    <mergeCell ref="D28:E28"/>
    <mergeCell ref="G28:H28"/>
    <mergeCell ref="A21:B21"/>
    <mergeCell ref="D21:E21"/>
    <mergeCell ref="G21:H21"/>
    <mergeCell ref="A22:B22"/>
    <mergeCell ref="D22:E22"/>
    <mergeCell ref="G22:H22"/>
    <mergeCell ref="D18:E18"/>
    <mergeCell ref="G18:H18"/>
    <mergeCell ref="D19:E19"/>
    <mergeCell ref="G19:H19"/>
    <mergeCell ref="A20:B20"/>
    <mergeCell ref="D20:E20"/>
    <mergeCell ref="G20:H20"/>
    <mergeCell ref="D15:E15"/>
    <mergeCell ref="G15:H15"/>
    <mergeCell ref="D16:E16"/>
    <mergeCell ref="G16:H16"/>
    <mergeCell ref="D17:E17"/>
    <mergeCell ref="G17:H17"/>
    <mergeCell ref="A12:I12"/>
    <mergeCell ref="B13:C13"/>
    <mergeCell ref="E13:F13"/>
    <mergeCell ref="H13:I13"/>
    <mergeCell ref="D14:E14"/>
    <mergeCell ref="G14:H14"/>
    <mergeCell ref="A10:B11"/>
    <mergeCell ref="C10:D11"/>
    <mergeCell ref="E10:E11"/>
    <mergeCell ref="F10:G11"/>
    <mergeCell ref="H10:H11"/>
    <mergeCell ref="I10:I11"/>
    <mergeCell ref="A8:B9"/>
    <mergeCell ref="C8:D9"/>
    <mergeCell ref="E8:E9"/>
    <mergeCell ref="F8:G9"/>
    <mergeCell ref="H8:H9"/>
    <mergeCell ref="I8:I9"/>
    <mergeCell ref="A6:B7"/>
    <mergeCell ref="C6:D7"/>
    <mergeCell ref="E6:E7"/>
    <mergeCell ref="F6:G7"/>
    <mergeCell ref="H6:H7"/>
    <mergeCell ref="I6:I7"/>
    <mergeCell ref="A4:B5"/>
    <mergeCell ref="C4:D5"/>
    <mergeCell ref="E4:E5"/>
    <mergeCell ref="F4:G5"/>
    <mergeCell ref="H4:H5"/>
    <mergeCell ref="I4:I5"/>
    <mergeCell ref="A1:I1"/>
    <mergeCell ref="A2:B3"/>
    <mergeCell ref="C2:D3"/>
    <mergeCell ref="E2:E3"/>
    <mergeCell ref="F2:G3"/>
    <mergeCell ref="H2:H3"/>
    <mergeCell ref="I2:I3"/>
  </mergeCells>
  <printOptions/>
  <pageMargins left="0.39375" right="0.39375" top="0.5909722222222222" bottom="0.5909722222222222" header="0.5118110236220472" footer="0.5118110236220472"/>
  <pageSetup fitToHeight="1" fitToWidth="1" horizontalDpi="300" verticalDpi="300"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5"/>
  <sheetViews>
    <sheetView showOutlineSymbols="0" workbookViewId="0" topLeftCell="A1">
      <selection activeCell="A45" sqref="A45"/>
    </sheetView>
  </sheetViews>
  <sheetFormatPr defaultColWidth="14.16015625" defaultRowHeight="15" customHeight="1"/>
  <cols>
    <col min="1" max="1" width="10.66015625" style="1" customWidth="1"/>
    <col min="2" max="2" width="15" style="1" customWidth="1"/>
    <col min="3" max="3" width="26.66015625" style="1" customWidth="1"/>
    <col min="4" max="4" width="11.66015625" style="1" customWidth="1"/>
    <col min="5" max="5" width="16.33203125" style="1" customWidth="1"/>
    <col min="6" max="6" width="26.66015625" style="1" customWidth="1"/>
    <col min="7" max="7" width="10.66015625" style="1" customWidth="1"/>
    <col min="8" max="8" width="20" style="1" customWidth="1"/>
    <col min="9" max="9" width="26.66015625" style="1" customWidth="1"/>
  </cols>
  <sheetData>
    <row r="1" spans="1:9" ht="54.75" customHeight="1">
      <c r="A1" s="72" t="s">
        <v>57</v>
      </c>
      <c r="B1" s="72"/>
      <c r="C1" s="72"/>
      <c r="D1" s="72"/>
      <c r="E1" s="72"/>
      <c r="F1" s="72"/>
      <c r="G1" s="72"/>
      <c r="H1" s="72"/>
      <c r="I1" s="72"/>
    </row>
    <row r="2" spans="1:9" ht="15" customHeight="1">
      <c r="A2" s="73" t="s">
        <v>1</v>
      </c>
      <c r="B2" s="73"/>
      <c r="C2" s="74" t="str">
        <f>'Stavební rozpočet'!D2</f>
        <v>OPRAVA STŘECHY OBJEKTU UBYTOVNY SESTER Č.P. 506 - ODBORNÝ LÉČEBNÝ ÚSTAV JEVÍČKO</v>
      </c>
      <c r="D2" s="74"/>
      <c r="E2" s="75" t="s">
        <v>2</v>
      </c>
      <c r="F2" s="75" t="str">
        <f>'Stavební rozpočet'!J2</f>
        <v>Pardubický kraj, Komenského nám. 125, Pardubice</v>
      </c>
      <c r="G2" s="75"/>
      <c r="H2" s="75" t="s">
        <v>3</v>
      </c>
      <c r="I2" s="76"/>
    </row>
    <row r="3" spans="1:9" ht="39" customHeight="1">
      <c r="A3" s="73"/>
      <c r="B3" s="73"/>
      <c r="C3" s="74"/>
      <c r="D3" s="74"/>
      <c r="E3" s="75"/>
      <c r="F3" s="75"/>
      <c r="G3" s="75"/>
      <c r="H3" s="75"/>
      <c r="I3" s="76"/>
    </row>
    <row r="4" spans="1:9" ht="15" customHeight="1">
      <c r="A4" s="77" t="s">
        <v>4</v>
      </c>
      <c r="B4" s="77"/>
      <c r="C4" s="78" t="str">
        <f>'Stavební rozpočet'!D4</f>
        <v xml:space="preserve"> </v>
      </c>
      <c r="D4" s="78"/>
      <c r="E4" s="78" t="s">
        <v>5</v>
      </c>
      <c r="F4" s="78" t="str">
        <f>'Stavební rozpočet'!J4</f>
        <v> </v>
      </c>
      <c r="G4" s="78"/>
      <c r="H4" s="78" t="s">
        <v>3</v>
      </c>
      <c r="I4" s="79"/>
    </row>
    <row r="5" spans="1:9" ht="15" customHeight="1">
      <c r="A5" s="77"/>
      <c r="B5" s="77"/>
      <c r="C5" s="78"/>
      <c r="D5" s="78"/>
      <c r="E5" s="78"/>
      <c r="F5" s="78"/>
      <c r="G5" s="78"/>
      <c r="H5" s="78"/>
      <c r="I5" s="79"/>
    </row>
    <row r="6" spans="1:9" ht="15" customHeight="1">
      <c r="A6" s="77" t="s">
        <v>6</v>
      </c>
      <c r="B6" s="77"/>
      <c r="C6" s="78" t="str">
        <f>'Stavební rozpočet'!D6</f>
        <v xml:space="preserve"> </v>
      </c>
      <c r="D6" s="78"/>
      <c r="E6" s="78" t="s">
        <v>7</v>
      </c>
      <c r="F6" s="78" t="str">
        <f>'Stavební rozpočet'!J6</f>
        <v> </v>
      </c>
      <c r="G6" s="78"/>
      <c r="H6" s="78" t="s">
        <v>3</v>
      </c>
      <c r="I6" s="79"/>
    </row>
    <row r="7" spans="1:9" ht="15" customHeight="1">
      <c r="A7" s="77"/>
      <c r="B7" s="77"/>
      <c r="C7" s="78"/>
      <c r="D7" s="78"/>
      <c r="E7" s="78"/>
      <c r="F7" s="78"/>
      <c r="G7" s="78"/>
      <c r="H7" s="78"/>
      <c r="I7" s="79"/>
    </row>
    <row r="8" spans="1:9" ht="15" customHeight="1">
      <c r="A8" s="77" t="s">
        <v>8</v>
      </c>
      <c r="B8" s="77"/>
      <c r="C8" s="78" t="str">
        <f>'Stavební rozpočet'!H4</f>
        <v>17.01.2024</v>
      </c>
      <c r="D8" s="78"/>
      <c r="E8" s="78" t="s">
        <v>9</v>
      </c>
      <c r="F8" s="78" t="str">
        <f>'Stavební rozpočet'!H6</f>
        <v xml:space="preserve"> </v>
      </c>
      <c r="G8" s="78"/>
      <c r="H8" s="80" t="s">
        <v>10</v>
      </c>
      <c r="I8" s="81">
        <v>118</v>
      </c>
    </row>
    <row r="9" spans="1:9" ht="15" customHeight="1">
      <c r="A9" s="77"/>
      <c r="B9" s="77"/>
      <c r="C9" s="78"/>
      <c r="D9" s="78"/>
      <c r="E9" s="78"/>
      <c r="F9" s="78"/>
      <c r="G9" s="78"/>
      <c r="H9" s="80"/>
      <c r="I9" s="81"/>
    </row>
    <row r="10" spans="1:9" ht="15" customHeight="1">
      <c r="A10" s="82" t="s">
        <v>11</v>
      </c>
      <c r="B10" s="82"/>
      <c r="C10" s="83" t="str">
        <f>'Stavební rozpočet'!D8</f>
        <v xml:space="preserve"> </v>
      </c>
      <c r="D10" s="83"/>
      <c r="E10" s="83" t="s">
        <v>12</v>
      </c>
      <c r="F10" s="83" t="str">
        <f>'Stavební rozpočet'!J8</f>
        <v>Martin Černý,DiS.</v>
      </c>
      <c r="G10" s="83"/>
      <c r="H10" s="84" t="s">
        <v>13</v>
      </c>
      <c r="I10" s="85" t="str">
        <f>'Stavební rozpočet'!H8</f>
        <v>17.01.2024</v>
      </c>
    </row>
    <row r="11" spans="1:9" ht="15" customHeight="1">
      <c r="A11" s="82"/>
      <c r="B11" s="82"/>
      <c r="C11" s="83"/>
      <c r="D11" s="83"/>
      <c r="E11" s="83"/>
      <c r="F11" s="83"/>
      <c r="G11" s="83"/>
      <c r="H11" s="84"/>
      <c r="I11" s="85"/>
    </row>
    <row r="13" spans="1:5" ht="15.75" customHeight="1">
      <c r="A13" s="105" t="s">
        <v>58</v>
      </c>
      <c r="B13" s="105"/>
      <c r="C13" s="105"/>
      <c r="D13" s="105"/>
      <c r="E13" s="105"/>
    </row>
    <row r="14" spans="1:9" ht="15" customHeight="1">
      <c r="A14" s="106" t="s">
        <v>59</v>
      </c>
      <c r="B14" s="106"/>
      <c r="C14" s="106"/>
      <c r="D14" s="106"/>
      <c r="E14" s="106"/>
      <c r="F14" s="18" t="s">
        <v>60</v>
      </c>
      <c r="G14" s="18" t="s">
        <v>61</v>
      </c>
      <c r="H14" s="18" t="s">
        <v>62</v>
      </c>
      <c r="I14" s="18" t="s">
        <v>60</v>
      </c>
    </row>
    <row r="15" spans="1:9" ht="15" customHeight="1">
      <c r="A15" s="107" t="s">
        <v>23</v>
      </c>
      <c r="B15" s="107"/>
      <c r="C15" s="107"/>
      <c r="D15" s="107"/>
      <c r="E15" s="107"/>
      <c r="F15" s="19">
        <v>0</v>
      </c>
      <c r="G15" s="20"/>
      <c r="H15" s="20"/>
      <c r="I15" s="19">
        <f aca="true" t="shared" si="0" ref="I15:I17">F15</f>
        <v>0</v>
      </c>
    </row>
    <row r="16" spans="1:9" ht="15" customHeight="1">
      <c r="A16" s="107" t="s">
        <v>26</v>
      </c>
      <c r="B16" s="107"/>
      <c r="C16" s="107"/>
      <c r="D16" s="107"/>
      <c r="E16" s="107"/>
      <c r="F16" s="19">
        <v>0</v>
      </c>
      <c r="G16" s="20"/>
      <c r="H16" s="20"/>
      <c r="I16" s="19">
        <f t="shared" si="0"/>
        <v>0</v>
      </c>
    </row>
    <row r="17" spans="1:9" ht="15" customHeight="1">
      <c r="A17" s="108" t="s">
        <v>29</v>
      </c>
      <c r="B17" s="108"/>
      <c r="C17" s="108"/>
      <c r="D17" s="108"/>
      <c r="E17" s="108"/>
      <c r="F17" s="21">
        <v>0</v>
      </c>
      <c r="G17" s="2"/>
      <c r="H17" s="2"/>
      <c r="I17" s="21">
        <f t="shared" si="0"/>
        <v>0</v>
      </c>
    </row>
    <row r="18" spans="1:9" ht="15" customHeight="1">
      <c r="A18" s="109" t="s">
        <v>63</v>
      </c>
      <c r="B18" s="109"/>
      <c r="C18" s="109"/>
      <c r="D18" s="109"/>
      <c r="E18" s="109"/>
      <c r="F18" s="22"/>
      <c r="G18" s="23"/>
      <c r="H18" s="23"/>
      <c r="I18" s="24">
        <f>SUM(I15:I17)</f>
        <v>0</v>
      </c>
    </row>
    <row r="20" spans="1:9" ht="15" customHeight="1">
      <c r="A20" s="106" t="s">
        <v>20</v>
      </c>
      <c r="B20" s="106"/>
      <c r="C20" s="106"/>
      <c r="D20" s="106"/>
      <c r="E20" s="106"/>
      <c r="F20" s="18" t="s">
        <v>60</v>
      </c>
      <c r="G20" s="18" t="s">
        <v>61</v>
      </c>
      <c r="H20" s="18" t="s">
        <v>62</v>
      </c>
      <c r="I20" s="18" t="s">
        <v>60</v>
      </c>
    </row>
    <row r="21" spans="1:9" ht="15" customHeight="1">
      <c r="A21" s="107" t="s">
        <v>24</v>
      </c>
      <c r="B21" s="107"/>
      <c r="C21" s="107"/>
      <c r="D21" s="107"/>
      <c r="E21" s="107"/>
      <c r="F21" s="19">
        <v>0</v>
      </c>
      <c r="G21" s="20"/>
      <c r="H21" s="20"/>
      <c r="I21" s="19">
        <f aca="true" t="shared" si="1" ref="I21:I26">F21</f>
        <v>0</v>
      </c>
    </row>
    <row r="22" spans="1:9" ht="15" customHeight="1">
      <c r="A22" s="107" t="s">
        <v>27</v>
      </c>
      <c r="B22" s="107"/>
      <c r="C22" s="107"/>
      <c r="D22" s="107"/>
      <c r="E22" s="107"/>
      <c r="F22" s="19">
        <v>0</v>
      </c>
      <c r="G22" s="20"/>
      <c r="H22" s="20"/>
      <c r="I22" s="19">
        <f t="shared" si="1"/>
        <v>0</v>
      </c>
    </row>
    <row r="23" spans="1:9" ht="15" customHeight="1">
      <c r="A23" s="107" t="s">
        <v>30</v>
      </c>
      <c r="B23" s="107"/>
      <c r="C23" s="107"/>
      <c r="D23" s="107"/>
      <c r="E23" s="107"/>
      <c r="F23" s="19">
        <v>0</v>
      </c>
      <c r="G23" s="20"/>
      <c r="H23" s="20"/>
      <c r="I23" s="19">
        <f t="shared" si="1"/>
        <v>0</v>
      </c>
    </row>
    <row r="24" spans="1:9" ht="15" customHeight="1">
      <c r="A24" s="107" t="s">
        <v>31</v>
      </c>
      <c r="B24" s="107"/>
      <c r="C24" s="107"/>
      <c r="D24" s="107"/>
      <c r="E24" s="107"/>
      <c r="F24" s="19">
        <v>0</v>
      </c>
      <c r="G24" s="20"/>
      <c r="H24" s="20"/>
      <c r="I24" s="19">
        <f t="shared" si="1"/>
        <v>0</v>
      </c>
    </row>
    <row r="25" spans="1:9" ht="15" customHeight="1">
      <c r="A25" s="107" t="s">
        <v>33</v>
      </c>
      <c r="B25" s="107"/>
      <c r="C25" s="107"/>
      <c r="D25" s="107"/>
      <c r="E25" s="107"/>
      <c r="F25" s="19">
        <v>0</v>
      </c>
      <c r="G25" s="20"/>
      <c r="H25" s="20"/>
      <c r="I25" s="19">
        <f t="shared" si="1"/>
        <v>0</v>
      </c>
    </row>
    <row r="26" spans="1:9" ht="15" customHeight="1">
      <c r="A26" s="108" t="s">
        <v>34</v>
      </c>
      <c r="B26" s="108"/>
      <c r="C26" s="108"/>
      <c r="D26" s="108"/>
      <c r="E26" s="108"/>
      <c r="F26" s="21">
        <v>0</v>
      </c>
      <c r="G26" s="2"/>
      <c r="H26" s="2"/>
      <c r="I26" s="21">
        <f t="shared" si="1"/>
        <v>0</v>
      </c>
    </row>
    <row r="27" spans="1:9" ht="15" customHeight="1">
      <c r="A27" s="109" t="s">
        <v>64</v>
      </c>
      <c r="B27" s="109"/>
      <c r="C27" s="109"/>
      <c r="D27" s="109"/>
      <c r="E27" s="109"/>
      <c r="F27" s="22"/>
      <c r="G27" s="23"/>
      <c r="H27" s="23"/>
      <c r="I27" s="24">
        <f>SUM(I21:I26)</f>
        <v>0</v>
      </c>
    </row>
    <row r="29" spans="1:9" ht="15.75" customHeight="1">
      <c r="A29" s="110" t="s">
        <v>65</v>
      </c>
      <c r="B29" s="110"/>
      <c r="C29" s="110"/>
      <c r="D29" s="110"/>
      <c r="E29" s="110"/>
      <c r="F29" s="111">
        <f>I18+I27</f>
        <v>0</v>
      </c>
      <c r="G29" s="111"/>
      <c r="H29" s="111"/>
      <c r="I29" s="111"/>
    </row>
    <row r="33" spans="1:5" ht="15.75" customHeight="1">
      <c r="A33" s="105" t="s">
        <v>66</v>
      </c>
      <c r="B33" s="105"/>
      <c r="C33" s="105"/>
      <c r="D33" s="105"/>
      <c r="E33" s="105"/>
    </row>
    <row r="34" spans="1:9" ht="15" customHeight="1">
      <c r="A34" s="106" t="s">
        <v>67</v>
      </c>
      <c r="B34" s="106"/>
      <c r="C34" s="106"/>
      <c r="D34" s="106"/>
      <c r="E34" s="106"/>
      <c r="F34" s="18" t="s">
        <v>60</v>
      </c>
      <c r="G34" s="18" t="s">
        <v>61</v>
      </c>
      <c r="H34" s="18" t="s">
        <v>62</v>
      </c>
      <c r="I34" s="18" t="s">
        <v>60</v>
      </c>
    </row>
    <row r="35" spans="1:9" ht="15" customHeight="1">
      <c r="A35" s="107" t="s">
        <v>68</v>
      </c>
      <c r="B35" s="107"/>
      <c r="C35" s="107"/>
      <c r="D35" s="107"/>
      <c r="E35" s="107"/>
      <c r="F35" s="19">
        <f>SUM('Stavební rozpočet'!BM12:BM330)</f>
        <v>0</v>
      </c>
      <c r="G35" s="20"/>
      <c r="H35" s="20"/>
      <c r="I35" s="19">
        <f aca="true" t="shared" si="2" ref="I35:I44">F35</f>
        <v>0</v>
      </c>
    </row>
    <row r="36" spans="1:9" ht="15" customHeight="1">
      <c r="A36" s="107" t="s">
        <v>69</v>
      </c>
      <c r="B36" s="107"/>
      <c r="C36" s="107"/>
      <c r="D36" s="107"/>
      <c r="E36" s="107"/>
      <c r="F36" s="19">
        <f>SUM('Stavební rozpočet'!BN12:BN330)</f>
        <v>0</v>
      </c>
      <c r="G36" s="20"/>
      <c r="H36" s="20"/>
      <c r="I36" s="19">
        <f t="shared" si="2"/>
        <v>0</v>
      </c>
    </row>
    <row r="37" spans="1:9" ht="15" customHeight="1">
      <c r="A37" s="107" t="s">
        <v>24</v>
      </c>
      <c r="B37" s="107"/>
      <c r="C37" s="107"/>
      <c r="D37" s="107"/>
      <c r="E37" s="107"/>
      <c r="F37" s="19">
        <f>SUM('Stavební rozpočet'!BO12:BO330)</f>
        <v>0</v>
      </c>
      <c r="G37" s="20"/>
      <c r="H37" s="20"/>
      <c r="I37" s="19">
        <f t="shared" si="2"/>
        <v>0</v>
      </c>
    </row>
    <row r="38" spans="1:9" ht="15" customHeight="1">
      <c r="A38" s="107" t="s">
        <v>70</v>
      </c>
      <c r="B38" s="107"/>
      <c r="C38" s="107"/>
      <c r="D38" s="107"/>
      <c r="E38" s="107"/>
      <c r="F38" s="19">
        <f>SUM('Stavební rozpočet'!BP12:BP330)</f>
        <v>0</v>
      </c>
      <c r="G38" s="20"/>
      <c r="H38" s="20"/>
      <c r="I38" s="19">
        <f t="shared" si="2"/>
        <v>0</v>
      </c>
    </row>
    <row r="39" spans="1:9" ht="15" customHeight="1">
      <c r="A39" s="107" t="s">
        <v>71</v>
      </c>
      <c r="B39" s="107"/>
      <c r="C39" s="107"/>
      <c r="D39" s="107"/>
      <c r="E39" s="107"/>
      <c r="F39" s="19">
        <f>SUM('Stavební rozpočet'!BQ12:BQ330)</f>
        <v>0</v>
      </c>
      <c r="G39" s="20"/>
      <c r="H39" s="20"/>
      <c r="I39" s="19">
        <f t="shared" si="2"/>
        <v>0</v>
      </c>
    </row>
    <row r="40" spans="1:9" ht="15" customHeight="1">
      <c r="A40" s="107" t="s">
        <v>30</v>
      </c>
      <c r="B40" s="107"/>
      <c r="C40" s="107"/>
      <c r="D40" s="107"/>
      <c r="E40" s="107"/>
      <c r="F40" s="19">
        <f>SUM('Stavební rozpočet'!BR12:BR330)</f>
        <v>0</v>
      </c>
      <c r="G40" s="20"/>
      <c r="H40" s="20"/>
      <c r="I40" s="19">
        <f t="shared" si="2"/>
        <v>0</v>
      </c>
    </row>
    <row r="41" spans="1:9" ht="15" customHeight="1">
      <c r="A41" s="107" t="s">
        <v>31</v>
      </c>
      <c r="B41" s="107"/>
      <c r="C41" s="107"/>
      <c r="D41" s="107"/>
      <c r="E41" s="107"/>
      <c r="F41" s="19">
        <f>SUM('Stavební rozpočet'!BS12:BS330)</f>
        <v>0</v>
      </c>
      <c r="G41" s="20"/>
      <c r="H41" s="20"/>
      <c r="I41" s="19">
        <f t="shared" si="2"/>
        <v>0</v>
      </c>
    </row>
    <row r="42" spans="1:9" ht="15" customHeight="1">
      <c r="A42" s="107" t="s">
        <v>72</v>
      </c>
      <c r="B42" s="107"/>
      <c r="C42" s="107"/>
      <c r="D42" s="107"/>
      <c r="E42" s="107"/>
      <c r="F42" s="19">
        <f>SUM('Stavební rozpočet'!BT12:BT330)</f>
        <v>0</v>
      </c>
      <c r="G42" s="20"/>
      <c r="H42" s="20"/>
      <c r="I42" s="19">
        <f t="shared" si="2"/>
        <v>0</v>
      </c>
    </row>
    <row r="43" spans="1:9" ht="15" customHeight="1">
      <c r="A43" s="107" t="s">
        <v>73</v>
      </c>
      <c r="B43" s="107"/>
      <c r="C43" s="107"/>
      <c r="D43" s="107"/>
      <c r="E43" s="107"/>
      <c r="F43" s="19">
        <f>SUM('Stavební rozpočet'!BU12:BU330)</f>
        <v>0</v>
      </c>
      <c r="G43" s="20"/>
      <c r="H43" s="20"/>
      <c r="I43" s="19">
        <f t="shared" si="2"/>
        <v>0</v>
      </c>
    </row>
    <row r="44" spans="1:9" ht="15" customHeight="1">
      <c r="A44" s="108" t="s">
        <v>74</v>
      </c>
      <c r="B44" s="108"/>
      <c r="C44" s="108"/>
      <c r="D44" s="108"/>
      <c r="E44" s="108"/>
      <c r="F44" s="21">
        <f>SUM('Stavební rozpočet'!BV12:BV330)</f>
        <v>0</v>
      </c>
      <c r="G44" s="2"/>
      <c r="H44" s="2"/>
      <c r="I44" s="21">
        <f t="shared" si="2"/>
        <v>0</v>
      </c>
    </row>
    <row r="45" spans="1:9" ht="15" customHeight="1">
      <c r="A45" s="109" t="s">
        <v>75</v>
      </c>
      <c r="B45" s="109"/>
      <c r="C45" s="109"/>
      <c r="D45" s="109"/>
      <c r="E45" s="109"/>
      <c r="F45" s="22"/>
      <c r="G45" s="23"/>
      <c r="H45" s="23"/>
      <c r="I45" s="24">
        <f>SUM(I35:I44)</f>
        <v>0</v>
      </c>
    </row>
  </sheetData>
  <sheetProtection selectLockedCells="1" selectUnlockedCells="1"/>
  <mergeCells count="60">
    <mergeCell ref="A41:E41"/>
    <mergeCell ref="A42:E42"/>
    <mergeCell ref="A43:E43"/>
    <mergeCell ref="A44:E44"/>
    <mergeCell ref="A45:E45"/>
    <mergeCell ref="A35:E35"/>
    <mergeCell ref="A36:E36"/>
    <mergeCell ref="A37:E37"/>
    <mergeCell ref="A38:E38"/>
    <mergeCell ref="A39:E39"/>
    <mergeCell ref="A40:E40"/>
    <mergeCell ref="A26:E26"/>
    <mergeCell ref="A27:E27"/>
    <mergeCell ref="A29:E29"/>
    <mergeCell ref="F29:I29"/>
    <mergeCell ref="A33:E33"/>
    <mergeCell ref="A34:E34"/>
    <mergeCell ref="A20:E20"/>
    <mergeCell ref="A21:E21"/>
    <mergeCell ref="A22:E22"/>
    <mergeCell ref="A23:E23"/>
    <mergeCell ref="A24:E24"/>
    <mergeCell ref="A25:E25"/>
    <mergeCell ref="A13:E13"/>
    <mergeCell ref="A14:E14"/>
    <mergeCell ref="A15:E15"/>
    <mergeCell ref="A16:E16"/>
    <mergeCell ref="A17:E17"/>
    <mergeCell ref="A18:E18"/>
    <mergeCell ref="A10:B11"/>
    <mergeCell ref="C10:D11"/>
    <mergeCell ref="E10:E11"/>
    <mergeCell ref="F10:G11"/>
    <mergeCell ref="H10:H11"/>
    <mergeCell ref="I10:I11"/>
    <mergeCell ref="A8:B9"/>
    <mergeCell ref="C8:D9"/>
    <mergeCell ref="E8:E9"/>
    <mergeCell ref="F8:G9"/>
    <mergeCell ref="H8:H9"/>
    <mergeCell ref="I8:I9"/>
    <mergeCell ref="A6:B7"/>
    <mergeCell ref="C6:D7"/>
    <mergeCell ref="E6:E7"/>
    <mergeCell ref="F6:G7"/>
    <mergeCell ref="H6:H7"/>
    <mergeCell ref="I6:I7"/>
    <mergeCell ref="A4:B5"/>
    <mergeCell ref="C4:D5"/>
    <mergeCell ref="E4:E5"/>
    <mergeCell ref="F4:G5"/>
    <mergeCell ref="H4:H5"/>
    <mergeCell ref="I4:I5"/>
    <mergeCell ref="A1:I1"/>
    <mergeCell ref="A2:B3"/>
    <mergeCell ref="C2:D3"/>
    <mergeCell ref="E2:E3"/>
    <mergeCell ref="F2:G3"/>
    <mergeCell ref="H2:H3"/>
    <mergeCell ref="I2:I3"/>
  </mergeCells>
  <printOptions/>
  <pageMargins left="0.39375" right="0.39375" top="0.5909722222222222" bottom="0.5909722222222222" header="0.5118110236220472" footer="0.5118110236220472"/>
  <pageSetup fitToHeight="0" fitToWidth="1"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7"/>
  <sheetViews>
    <sheetView showOutlineSymbols="0" workbookViewId="0" topLeftCell="A1">
      <pane ySplit="11" topLeftCell="A12" activePane="bottomLeft" state="frozen"/>
      <selection pane="bottomLeft" activeCell="G30" sqref="G30"/>
    </sheetView>
  </sheetViews>
  <sheetFormatPr defaultColWidth="14.16015625" defaultRowHeight="15" customHeight="1"/>
  <cols>
    <col min="1" max="1" width="8.83203125" style="1" customWidth="1"/>
    <col min="2" max="10" width="18.33203125" style="1" customWidth="1"/>
    <col min="11" max="12" width="16.66015625" style="1" customWidth="1"/>
    <col min="13" max="16" width="14.16015625" style="1" hidden="1" customWidth="1"/>
    <col min="17" max="16384" width="14.16015625" style="171" customWidth="1"/>
  </cols>
  <sheetData>
    <row r="1" spans="1:12" ht="54.75" customHeight="1">
      <c r="A1" s="112" t="s">
        <v>76</v>
      </c>
      <c r="B1" s="112"/>
      <c r="C1" s="112"/>
      <c r="D1" s="112"/>
      <c r="E1" s="112"/>
      <c r="F1" s="112"/>
      <c r="G1" s="112"/>
      <c r="H1" s="112"/>
      <c r="I1" s="112"/>
      <c r="J1" s="112"/>
      <c r="K1" s="112"/>
      <c r="L1" s="112"/>
    </row>
    <row r="2" spans="1:12" ht="15" customHeight="1">
      <c r="A2" s="73" t="s">
        <v>1</v>
      </c>
      <c r="B2" s="73"/>
      <c r="C2" s="73"/>
      <c r="D2" s="74" t="str">
        <f>'Stavební rozpočet'!D2</f>
        <v>OPRAVA STŘECHY OBJEKTU UBYTOVNY SESTER Č.P. 506 - ODBORNÝ LÉČEBNÝ ÚSTAV JEVÍČKO</v>
      </c>
      <c r="E2" s="74"/>
      <c r="F2" s="74"/>
      <c r="G2" s="75" t="s">
        <v>77</v>
      </c>
      <c r="H2" s="75" t="str">
        <f>'Stavební rozpočet'!H2</f>
        <v xml:space="preserve"> </v>
      </c>
      <c r="I2" s="75" t="s">
        <v>2</v>
      </c>
      <c r="J2" s="113" t="str">
        <f>'Stavební rozpočet'!J2</f>
        <v>Pardubický kraj, Komenského nám. 125, Pardubice</v>
      </c>
      <c r="K2" s="113"/>
      <c r="L2" s="113"/>
    </row>
    <row r="3" spans="1:12" ht="15" customHeight="1">
      <c r="A3" s="73"/>
      <c r="B3" s="73"/>
      <c r="C3" s="73"/>
      <c r="D3" s="74"/>
      <c r="E3" s="74"/>
      <c r="F3" s="74"/>
      <c r="G3" s="75"/>
      <c r="H3" s="75"/>
      <c r="I3" s="75"/>
      <c r="J3" s="75"/>
      <c r="K3" s="113"/>
      <c r="L3" s="113"/>
    </row>
    <row r="4" spans="1:12" ht="15" customHeight="1">
      <c r="A4" s="77" t="s">
        <v>4</v>
      </c>
      <c r="B4" s="77"/>
      <c r="C4" s="77"/>
      <c r="D4" s="78" t="str">
        <f>'Stavební rozpočet'!D4</f>
        <v xml:space="preserve"> </v>
      </c>
      <c r="E4" s="78"/>
      <c r="F4" s="78"/>
      <c r="G4" s="78" t="s">
        <v>8</v>
      </c>
      <c r="H4" s="78" t="str">
        <f>'Stavební rozpočet'!H4</f>
        <v>17.01.2024</v>
      </c>
      <c r="I4" s="78" t="s">
        <v>5</v>
      </c>
      <c r="J4" s="114" t="str">
        <f>'Stavební rozpočet'!J4</f>
        <v> </v>
      </c>
      <c r="K4" s="114"/>
      <c r="L4" s="114"/>
    </row>
    <row r="5" spans="1:12" ht="15" customHeight="1">
      <c r="A5" s="77"/>
      <c r="B5" s="77"/>
      <c r="C5" s="77"/>
      <c r="D5" s="78"/>
      <c r="E5" s="78"/>
      <c r="F5" s="78"/>
      <c r="G5" s="78"/>
      <c r="H5" s="78"/>
      <c r="I5" s="78"/>
      <c r="J5" s="78"/>
      <c r="K5" s="114"/>
      <c r="L5" s="114"/>
    </row>
    <row r="6" spans="1:12" ht="15" customHeight="1">
      <c r="A6" s="77" t="s">
        <v>6</v>
      </c>
      <c r="B6" s="77"/>
      <c r="C6" s="77"/>
      <c r="D6" s="78" t="str">
        <f>'Stavební rozpočet'!D6</f>
        <v xml:space="preserve"> </v>
      </c>
      <c r="E6" s="78"/>
      <c r="F6" s="78"/>
      <c r="G6" s="78" t="s">
        <v>9</v>
      </c>
      <c r="H6" s="78" t="str">
        <f>'Stavební rozpočet'!H6</f>
        <v xml:space="preserve"> </v>
      </c>
      <c r="I6" s="78" t="s">
        <v>7</v>
      </c>
      <c r="J6" s="114" t="str">
        <f>'Stavební rozpočet'!J6</f>
        <v> </v>
      </c>
      <c r="K6" s="114"/>
      <c r="L6" s="114"/>
    </row>
    <row r="7" spans="1:12" ht="15" customHeight="1">
      <c r="A7" s="77"/>
      <c r="B7" s="77"/>
      <c r="C7" s="77"/>
      <c r="D7" s="78"/>
      <c r="E7" s="78"/>
      <c r="F7" s="78"/>
      <c r="G7" s="78"/>
      <c r="H7" s="78"/>
      <c r="I7" s="78"/>
      <c r="J7" s="78"/>
      <c r="K7" s="114"/>
      <c r="L7" s="114"/>
    </row>
    <row r="8" spans="1:12" ht="15" customHeight="1">
      <c r="A8" s="77" t="s">
        <v>11</v>
      </c>
      <c r="B8" s="77"/>
      <c r="C8" s="77"/>
      <c r="D8" s="78" t="str">
        <f>'Stavební rozpočet'!D8</f>
        <v xml:space="preserve"> </v>
      </c>
      <c r="E8" s="78"/>
      <c r="F8" s="78"/>
      <c r="G8" s="78" t="s">
        <v>78</v>
      </c>
      <c r="H8" s="78" t="str">
        <f>'Stavební rozpočet'!H8</f>
        <v>17.01.2024</v>
      </c>
      <c r="I8" s="78" t="s">
        <v>12</v>
      </c>
      <c r="J8" s="114" t="str">
        <f>'Stavební rozpočet'!J8</f>
        <v>Martin Černý,DiS.</v>
      </c>
      <c r="K8" s="114"/>
      <c r="L8" s="114"/>
    </row>
    <row r="9" spans="1:12" ht="15" customHeight="1">
      <c r="A9" s="77"/>
      <c r="B9" s="77"/>
      <c r="C9" s="77"/>
      <c r="D9" s="78"/>
      <c r="E9" s="78"/>
      <c r="F9" s="78"/>
      <c r="G9" s="78"/>
      <c r="H9" s="78"/>
      <c r="I9" s="78"/>
      <c r="J9" s="78"/>
      <c r="K9" s="114"/>
      <c r="L9" s="114"/>
    </row>
    <row r="10" spans="1:12" ht="15" customHeight="1">
      <c r="A10" s="25" t="s">
        <v>79</v>
      </c>
      <c r="B10" s="115" t="s">
        <v>79</v>
      </c>
      <c r="C10" s="115"/>
      <c r="D10" s="115"/>
      <c r="E10" s="115"/>
      <c r="F10" s="115"/>
      <c r="G10" s="115"/>
      <c r="H10" s="115"/>
      <c r="I10" s="115"/>
      <c r="J10" s="115"/>
      <c r="K10" s="26" t="s">
        <v>80</v>
      </c>
      <c r="L10" s="27" t="s">
        <v>81</v>
      </c>
    </row>
    <row r="11" spans="1:12" ht="15" customHeight="1">
      <c r="A11" s="28" t="s">
        <v>82</v>
      </c>
      <c r="B11" s="116" t="s">
        <v>83</v>
      </c>
      <c r="C11" s="116"/>
      <c r="D11" s="116"/>
      <c r="E11" s="116"/>
      <c r="F11" s="116"/>
      <c r="G11" s="116"/>
      <c r="H11" s="116"/>
      <c r="I11" s="116"/>
      <c r="J11" s="116"/>
      <c r="K11" s="29" t="s">
        <v>84</v>
      </c>
      <c r="L11" s="29" t="s">
        <v>84</v>
      </c>
    </row>
    <row r="12" spans="1:16" ht="15" customHeight="1">
      <c r="A12" s="30" t="s">
        <v>85</v>
      </c>
      <c r="B12" s="80" t="s">
        <v>86</v>
      </c>
      <c r="C12" s="80"/>
      <c r="D12" s="80"/>
      <c r="E12" s="80"/>
      <c r="F12" s="80"/>
      <c r="G12" s="80"/>
      <c r="H12" s="80"/>
      <c r="I12" s="80"/>
      <c r="J12" s="80"/>
      <c r="K12" s="31">
        <f>'Stavební rozpočet (SO 01)'!I12</f>
        <v>0</v>
      </c>
      <c r="L12" s="21">
        <f>'Stavební rozpočet'!K12</f>
        <v>124.40143431850001</v>
      </c>
      <c r="M12" s="32" t="s">
        <v>87</v>
      </c>
      <c r="N12" s="31">
        <f aca="true" t="shared" si="0" ref="N12:N14">IF(M12="F",0,K12)</f>
        <v>0</v>
      </c>
      <c r="O12" s="3" t="s">
        <v>85</v>
      </c>
      <c r="P12" s="31">
        <f aca="true" t="shared" si="1" ref="P12:P14">IF(M12="T",0,K12)</f>
        <v>0</v>
      </c>
    </row>
    <row r="13" spans="1:16" ht="15" customHeight="1">
      <c r="A13" s="30" t="s">
        <v>88</v>
      </c>
      <c r="B13" s="80" t="s">
        <v>89</v>
      </c>
      <c r="C13" s="80"/>
      <c r="D13" s="80"/>
      <c r="E13" s="80"/>
      <c r="F13" s="80"/>
      <c r="G13" s="80"/>
      <c r="H13" s="80"/>
      <c r="I13" s="80"/>
      <c r="J13" s="80"/>
      <c r="K13" s="31">
        <f>'Stavební rozpočet (SO 02)'!I12</f>
        <v>0</v>
      </c>
      <c r="L13" s="21">
        <f>'Stavební rozpočet'!K306</f>
        <v>0</v>
      </c>
      <c r="M13" s="32" t="s">
        <v>87</v>
      </c>
      <c r="N13" s="31">
        <f t="shared" si="0"/>
        <v>0</v>
      </c>
      <c r="O13" s="3" t="s">
        <v>88</v>
      </c>
      <c r="P13" s="31">
        <f t="shared" si="1"/>
        <v>0</v>
      </c>
    </row>
    <row r="14" spans="1:16" ht="15" customHeight="1">
      <c r="A14" s="33" t="s">
        <v>90</v>
      </c>
      <c r="B14" s="84" t="s">
        <v>90</v>
      </c>
      <c r="C14" s="84"/>
      <c r="D14" s="84"/>
      <c r="E14" s="84"/>
      <c r="F14" s="84"/>
      <c r="G14" s="84"/>
      <c r="H14" s="84"/>
      <c r="I14" s="84"/>
      <c r="J14" s="84"/>
      <c r="K14" s="34">
        <f>'Stavební rozpočet (VRN)'!I12</f>
        <v>0</v>
      </c>
      <c r="L14" s="19">
        <f>'Stavební rozpočet'!K310</f>
        <v>0</v>
      </c>
      <c r="M14" s="32" t="s">
        <v>87</v>
      </c>
      <c r="N14" s="31">
        <f t="shared" si="0"/>
        <v>0</v>
      </c>
      <c r="O14" s="3" t="s">
        <v>90</v>
      </c>
      <c r="P14" s="31">
        <f t="shared" si="1"/>
        <v>0</v>
      </c>
    </row>
    <row r="15" spans="9:11" ht="15" customHeight="1">
      <c r="I15" s="117" t="s">
        <v>91</v>
      </c>
      <c r="J15" s="117"/>
      <c r="K15" s="35">
        <f>ROUND(SUM(P12:P14),0)</f>
        <v>0</v>
      </c>
    </row>
    <row r="16" ht="15" customHeight="1">
      <c r="A16" s="17" t="s">
        <v>55</v>
      </c>
    </row>
    <row r="17" spans="1:12" ht="13.5" customHeight="1">
      <c r="A17" s="78" t="s">
        <v>92</v>
      </c>
      <c r="B17" s="78"/>
      <c r="C17" s="78"/>
      <c r="D17" s="78"/>
      <c r="E17" s="78"/>
      <c r="F17" s="78"/>
      <c r="G17" s="78"/>
      <c r="H17" s="78"/>
      <c r="I17" s="78"/>
      <c r="J17" s="78"/>
      <c r="K17" s="78"/>
      <c r="L17" s="78"/>
    </row>
  </sheetData>
  <sheetProtection algorithmName="SHA-512" hashValue="7F95y/7CieK3jXB47AYl0lXmdl0Fhh31M62nOITYSnP/+2s6bN0I2ZQbzfJaE0NEizRDR8tKRq0c0GM9sEdfcA==" saltValue="yT4AoI2bORwa8jnkyFHl9Q==" spinCount="100000" sheet="1" objects="1" scenarios="1"/>
  <mergeCells count="32">
    <mergeCell ref="A17:L17"/>
    <mergeCell ref="B10:J10"/>
    <mergeCell ref="B11:J11"/>
    <mergeCell ref="B12:J12"/>
    <mergeCell ref="B13:J13"/>
    <mergeCell ref="B14:J14"/>
    <mergeCell ref="I15:J15"/>
    <mergeCell ref="A8:C9"/>
    <mergeCell ref="D8:F9"/>
    <mergeCell ref="G8:G9"/>
    <mergeCell ref="H8:H9"/>
    <mergeCell ref="I8:I9"/>
    <mergeCell ref="J8:L9"/>
    <mergeCell ref="A6:C7"/>
    <mergeCell ref="D6:F7"/>
    <mergeCell ref="G6:G7"/>
    <mergeCell ref="H6:H7"/>
    <mergeCell ref="I6:I7"/>
    <mergeCell ref="J6:L7"/>
    <mergeCell ref="A4:C5"/>
    <mergeCell ref="D4:F5"/>
    <mergeCell ref="G4:G5"/>
    <mergeCell ref="H4:H5"/>
    <mergeCell ref="I4:I5"/>
    <mergeCell ref="J4:L5"/>
    <mergeCell ref="A1:L1"/>
    <mergeCell ref="A2:C3"/>
    <mergeCell ref="D2:F3"/>
    <mergeCell ref="G2:G3"/>
    <mergeCell ref="H2:H3"/>
    <mergeCell ref="I2:I3"/>
    <mergeCell ref="J2:L3"/>
  </mergeCells>
  <printOptions/>
  <pageMargins left="0.39375" right="0.39375" top="0.5909722222222222" bottom="0.5909722222222222" header="0.5118110236220472" footer="0.5118110236220472"/>
  <pageSetup fitToHeight="0" fitToWidth="1" horizontalDpi="300" verticalDpi="300"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329"/>
  <sheetViews>
    <sheetView showOutlineSymbols="0" workbookViewId="0" topLeftCell="A1">
      <pane ySplit="11" topLeftCell="A12" activePane="bottomLeft" state="frozen"/>
      <selection pane="bottomLeft" activeCell="G325" sqref="G325"/>
    </sheetView>
  </sheetViews>
  <sheetFormatPr defaultColWidth="14.16015625" defaultRowHeight="15" customHeight="1"/>
  <cols>
    <col min="1" max="1" width="4.66015625" style="1" customWidth="1"/>
    <col min="2" max="2" width="8.83203125" style="1" customWidth="1"/>
    <col min="3" max="3" width="20.83203125" style="1" customWidth="1"/>
    <col min="4" max="4" width="50" style="1" customWidth="1"/>
    <col min="5" max="5" width="41.66015625" style="1" customWidth="1"/>
    <col min="6" max="6" width="5" style="1" customWidth="1"/>
    <col min="7" max="7" width="15" style="1" customWidth="1"/>
    <col min="8" max="8" width="14" style="1" customWidth="1"/>
    <col min="9" max="9" width="18.33203125" style="1" customWidth="1"/>
    <col min="10" max="11" width="13.66015625" style="1" customWidth="1"/>
    <col min="12" max="12" width="15.66015625" style="1" customWidth="1"/>
    <col min="25" max="75" width="14.16015625" style="1" hidden="1" customWidth="1"/>
  </cols>
  <sheetData>
    <row r="1" spans="1:47" ht="54.75" customHeight="1">
      <c r="A1" s="112" t="s">
        <v>93</v>
      </c>
      <c r="B1" s="112"/>
      <c r="C1" s="112"/>
      <c r="D1" s="112"/>
      <c r="E1" s="112"/>
      <c r="F1" s="112"/>
      <c r="G1" s="112"/>
      <c r="H1" s="112"/>
      <c r="I1" s="112"/>
      <c r="J1" s="112"/>
      <c r="K1" s="112"/>
      <c r="L1" s="112"/>
      <c r="AS1" s="36">
        <f>SUM(AJ1:AJ2)</f>
        <v>0</v>
      </c>
      <c r="AT1" s="36">
        <f>SUM(AK1:AK2)</f>
        <v>0</v>
      </c>
      <c r="AU1" s="36">
        <f>SUM(AL1:AL2)</f>
        <v>0</v>
      </c>
    </row>
    <row r="2" spans="1:12" ht="15" customHeight="1">
      <c r="A2" s="73" t="s">
        <v>1</v>
      </c>
      <c r="B2" s="73"/>
      <c r="C2" s="73"/>
      <c r="D2" s="74" t="str">
        <f>'Stavební rozpočet'!D2</f>
        <v>OPRAVA STŘECHY OBJEKTU UBYTOVNY SESTER Č.P. 506 - ODBORNÝ LÉČEBNÝ ÚSTAV JEVÍČKO</v>
      </c>
      <c r="E2" s="74"/>
      <c r="F2" s="118" t="s">
        <v>77</v>
      </c>
      <c r="G2" s="118"/>
      <c r="H2" s="75" t="str">
        <f>'Stavební rozpočet'!H2</f>
        <v xml:space="preserve"> </v>
      </c>
      <c r="I2" s="75" t="s">
        <v>2</v>
      </c>
      <c r="J2" s="113" t="str">
        <f>'Stavební rozpočet'!J2</f>
        <v>Pardubický kraj, Komenského nám. 125, Pardubice</v>
      </c>
      <c r="K2" s="113"/>
      <c r="L2" s="113"/>
    </row>
    <row r="3" spans="1:12" ht="15" customHeight="1">
      <c r="A3" s="73"/>
      <c r="B3" s="73"/>
      <c r="C3" s="73"/>
      <c r="D3" s="74"/>
      <c r="E3" s="74"/>
      <c r="F3" s="118"/>
      <c r="G3" s="118"/>
      <c r="H3" s="75"/>
      <c r="I3" s="75"/>
      <c r="J3" s="75"/>
      <c r="K3" s="113"/>
      <c r="L3" s="113"/>
    </row>
    <row r="4" spans="1:12" ht="15" customHeight="1">
      <c r="A4" s="77" t="s">
        <v>4</v>
      </c>
      <c r="B4" s="77"/>
      <c r="C4" s="77"/>
      <c r="D4" s="78" t="str">
        <f>'Stavební rozpočet'!D4</f>
        <v xml:space="preserve"> </v>
      </c>
      <c r="E4" s="78"/>
      <c r="F4" s="80" t="s">
        <v>8</v>
      </c>
      <c r="G4" s="80"/>
      <c r="H4" s="78" t="str">
        <f>'Stavební rozpočet'!H4</f>
        <v>17.01.2024</v>
      </c>
      <c r="I4" s="78" t="s">
        <v>5</v>
      </c>
      <c r="J4" s="114" t="str">
        <f>'Stavební rozpočet'!J4</f>
        <v> </v>
      </c>
      <c r="K4" s="114"/>
      <c r="L4" s="114"/>
    </row>
    <row r="5" spans="1:12" ht="15" customHeight="1">
      <c r="A5" s="77"/>
      <c r="B5" s="77"/>
      <c r="C5" s="77"/>
      <c r="D5" s="78"/>
      <c r="E5" s="78"/>
      <c r="F5" s="80"/>
      <c r="G5" s="80"/>
      <c r="H5" s="78"/>
      <c r="I5" s="78"/>
      <c r="J5" s="78"/>
      <c r="K5" s="114"/>
      <c r="L5" s="114"/>
    </row>
    <row r="6" spans="1:12" ht="15" customHeight="1">
      <c r="A6" s="77" t="s">
        <v>6</v>
      </c>
      <c r="B6" s="77"/>
      <c r="C6" s="77"/>
      <c r="D6" s="78" t="str">
        <f>'Stavební rozpočet'!D6</f>
        <v xml:space="preserve"> </v>
      </c>
      <c r="E6" s="78"/>
      <c r="F6" s="80" t="s">
        <v>9</v>
      </c>
      <c r="G6" s="80"/>
      <c r="H6" s="78" t="str">
        <f>'Stavební rozpočet'!H6</f>
        <v xml:space="preserve"> </v>
      </c>
      <c r="I6" s="78" t="s">
        <v>7</v>
      </c>
      <c r="J6" s="114" t="str">
        <f>'Stavební rozpočet'!J6</f>
        <v> </v>
      </c>
      <c r="K6" s="114"/>
      <c r="L6" s="114"/>
    </row>
    <row r="7" spans="1:12" ht="15" customHeight="1">
      <c r="A7" s="77"/>
      <c r="B7" s="77"/>
      <c r="C7" s="77"/>
      <c r="D7" s="78"/>
      <c r="E7" s="78"/>
      <c r="F7" s="80"/>
      <c r="G7" s="80"/>
      <c r="H7" s="78"/>
      <c r="I7" s="78"/>
      <c r="J7" s="78"/>
      <c r="K7" s="114"/>
      <c r="L7" s="114"/>
    </row>
    <row r="8" spans="1:12" ht="15" customHeight="1">
      <c r="A8" s="77" t="s">
        <v>11</v>
      </c>
      <c r="B8" s="77"/>
      <c r="C8" s="77"/>
      <c r="D8" s="78" t="str">
        <f>'Stavební rozpočet'!D8</f>
        <v xml:space="preserve"> </v>
      </c>
      <c r="E8" s="78"/>
      <c r="F8" s="80" t="s">
        <v>78</v>
      </c>
      <c r="G8" s="80"/>
      <c r="H8" s="78" t="str">
        <f>'Stavební rozpočet'!H8</f>
        <v>17.01.2024</v>
      </c>
      <c r="I8" s="78" t="s">
        <v>12</v>
      </c>
      <c r="J8" s="114" t="str">
        <f>'Stavební rozpočet'!J8</f>
        <v>Martin Černý,DiS.</v>
      </c>
      <c r="K8" s="114"/>
      <c r="L8" s="114"/>
    </row>
    <row r="9" spans="1:12" ht="15" customHeight="1">
      <c r="A9" s="77"/>
      <c r="B9" s="77"/>
      <c r="C9" s="77"/>
      <c r="D9" s="78"/>
      <c r="E9" s="78"/>
      <c r="F9" s="80"/>
      <c r="G9" s="80"/>
      <c r="H9" s="78"/>
      <c r="I9" s="78"/>
      <c r="J9" s="78"/>
      <c r="K9" s="114"/>
      <c r="L9" s="114"/>
    </row>
    <row r="10" spans="1:75" ht="15" customHeight="1">
      <c r="A10" s="37" t="s">
        <v>94</v>
      </c>
      <c r="B10" s="38" t="s">
        <v>82</v>
      </c>
      <c r="C10" s="38" t="s">
        <v>95</v>
      </c>
      <c r="D10" s="119" t="s">
        <v>83</v>
      </c>
      <c r="E10" s="119"/>
      <c r="F10" s="38" t="s">
        <v>96</v>
      </c>
      <c r="G10" s="39" t="s">
        <v>97</v>
      </c>
      <c r="H10" s="40" t="s">
        <v>98</v>
      </c>
      <c r="I10" s="26" t="s">
        <v>80</v>
      </c>
      <c r="J10" s="120" t="s">
        <v>81</v>
      </c>
      <c r="K10" s="120"/>
      <c r="L10" s="41" t="s">
        <v>99</v>
      </c>
      <c r="BK10" s="42" t="s">
        <v>100</v>
      </c>
      <c r="BL10" s="43" t="s">
        <v>101</v>
      </c>
      <c r="BW10" s="43" t="s">
        <v>102</v>
      </c>
    </row>
    <row r="11" spans="1:62" ht="15" customHeight="1">
      <c r="A11" s="44" t="s">
        <v>79</v>
      </c>
      <c r="B11" s="45" t="s">
        <v>79</v>
      </c>
      <c r="C11" s="45" t="s">
        <v>79</v>
      </c>
      <c r="D11" s="116" t="s">
        <v>103</v>
      </c>
      <c r="E11" s="116"/>
      <c r="F11" s="45" t="s">
        <v>79</v>
      </c>
      <c r="G11" s="45" t="s">
        <v>79</v>
      </c>
      <c r="H11" s="46" t="s">
        <v>104</v>
      </c>
      <c r="I11" s="29" t="s">
        <v>84</v>
      </c>
      <c r="J11" s="46" t="s">
        <v>105</v>
      </c>
      <c r="K11" s="47" t="s">
        <v>84</v>
      </c>
      <c r="L11" s="48" t="s">
        <v>106</v>
      </c>
      <c r="Z11" s="42" t="s">
        <v>107</v>
      </c>
      <c r="AA11" s="42" t="s">
        <v>108</v>
      </c>
      <c r="AB11" s="42" t="s">
        <v>109</v>
      </c>
      <c r="AC11" s="42" t="s">
        <v>110</v>
      </c>
      <c r="AD11" s="42" t="s">
        <v>111</v>
      </c>
      <c r="AE11" s="42" t="s">
        <v>112</v>
      </c>
      <c r="AF11" s="42" t="s">
        <v>113</v>
      </c>
      <c r="AG11" s="42" t="s">
        <v>114</v>
      </c>
      <c r="AH11" s="42" t="s">
        <v>115</v>
      </c>
      <c r="BH11" s="42" t="s">
        <v>116</v>
      </c>
      <c r="BI11" s="42" t="s">
        <v>117</v>
      </c>
      <c r="BJ11" s="42" t="s">
        <v>118</v>
      </c>
    </row>
    <row r="12" spans="1:12" ht="15" customHeight="1">
      <c r="A12" s="49"/>
      <c r="B12" s="50" t="s">
        <v>85</v>
      </c>
      <c r="C12" s="50"/>
      <c r="D12" s="121" t="s">
        <v>86</v>
      </c>
      <c r="E12" s="121"/>
      <c r="F12" s="51" t="s">
        <v>79</v>
      </c>
      <c r="G12" s="51" t="s">
        <v>79</v>
      </c>
      <c r="H12" s="51" t="s">
        <v>79</v>
      </c>
      <c r="I12" s="52">
        <f>I13+I21+I32+I42+I57+I138+I185+I249+I261+I281+I298+I300</f>
        <v>0</v>
      </c>
      <c r="J12" s="53"/>
      <c r="K12" s="52">
        <f>K13+K21+K32+K42+K57+K138+K185+K249+K261+K281+K298+K300</f>
        <v>124.40143431850001</v>
      </c>
      <c r="L12" s="54"/>
    </row>
    <row r="13" spans="1:47" ht="15" customHeight="1">
      <c r="A13" s="55"/>
      <c r="B13" s="56" t="s">
        <v>85</v>
      </c>
      <c r="C13" s="56" t="s">
        <v>119</v>
      </c>
      <c r="D13" s="122" t="s">
        <v>120</v>
      </c>
      <c r="E13" s="122"/>
      <c r="F13" s="57" t="s">
        <v>79</v>
      </c>
      <c r="G13" s="57" t="s">
        <v>79</v>
      </c>
      <c r="H13" s="57" t="s">
        <v>79</v>
      </c>
      <c r="I13" s="36">
        <f>SUM(I14:I18)</f>
        <v>0</v>
      </c>
      <c r="J13" s="42"/>
      <c r="K13" s="36">
        <f>SUM(K14:K18)</f>
        <v>0.13769900000000002</v>
      </c>
      <c r="L13" s="58"/>
      <c r="AI13" s="42" t="s">
        <v>85</v>
      </c>
      <c r="AS13" s="36">
        <f>SUM(AJ14:AJ18)</f>
        <v>0</v>
      </c>
      <c r="AT13" s="36">
        <f>SUM(AK14:AK18)</f>
        <v>0</v>
      </c>
      <c r="AU13" s="36">
        <f>SUM(AL14:AL18)</f>
        <v>0</v>
      </c>
    </row>
    <row r="14" spans="1:75" ht="13.5" customHeight="1">
      <c r="A14" s="30" t="s">
        <v>121</v>
      </c>
      <c r="B14" s="3" t="s">
        <v>85</v>
      </c>
      <c r="C14" s="3" t="s">
        <v>122</v>
      </c>
      <c r="D14" s="78" t="s">
        <v>123</v>
      </c>
      <c r="E14" s="78"/>
      <c r="F14" s="3" t="s">
        <v>124</v>
      </c>
      <c r="G14" s="31">
        <f>'Stavební rozpočet'!G14</f>
        <v>35.1</v>
      </c>
      <c r="H14" s="170">
        <v>0</v>
      </c>
      <c r="I14" s="31">
        <f>G14*H14</f>
        <v>0</v>
      </c>
      <c r="J14" s="31">
        <f>'Stavební rozpočet'!J14</f>
        <v>0.0025</v>
      </c>
      <c r="K14" s="31">
        <f>G14*J14</f>
        <v>0.08775000000000001</v>
      </c>
      <c r="L14" s="59" t="s">
        <v>125</v>
      </c>
      <c r="Z14" s="31">
        <f>IF(AQ14="5",BJ14,0)</f>
        <v>0</v>
      </c>
      <c r="AB14" s="31">
        <f>IF(AQ14="1",BH14,0)</f>
        <v>0</v>
      </c>
      <c r="AC14" s="31">
        <f>IF(AQ14="1",BI14,0)</f>
        <v>0</v>
      </c>
      <c r="AD14" s="31">
        <f>IF(AQ14="7",BH14,0)</f>
        <v>0</v>
      </c>
      <c r="AE14" s="31">
        <f>IF(AQ14="7",BI14,0)</f>
        <v>0</v>
      </c>
      <c r="AF14" s="31">
        <f>IF(AQ14="2",BH14,0)</f>
        <v>0</v>
      </c>
      <c r="AG14" s="31">
        <f>IF(AQ14="2",BI14,0)</f>
        <v>0</v>
      </c>
      <c r="AH14" s="31">
        <f>IF(AQ14="0",BJ14,0)</f>
        <v>0</v>
      </c>
      <c r="AI14" s="42" t="s">
        <v>85</v>
      </c>
      <c r="AJ14" s="31">
        <f>IF(AN14=0,I14,0)</f>
        <v>0</v>
      </c>
      <c r="AK14" s="31">
        <f>IF(AN14=12,I14,0)</f>
        <v>0</v>
      </c>
      <c r="AL14" s="31">
        <f>IF(AN14=21,I14,0)</f>
        <v>0</v>
      </c>
      <c r="AN14" s="31">
        <v>21</v>
      </c>
      <c r="AO14" s="31">
        <f>H14*0.13403709723683</f>
        <v>0</v>
      </c>
      <c r="AP14" s="31">
        <f>H14*(1-0.13403709723683)</f>
        <v>0</v>
      </c>
      <c r="AQ14" s="32" t="s">
        <v>121</v>
      </c>
      <c r="AV14" s="31">
        <f>AW14+AX14</f>
        <v>0</v>
      </c>
      <c r="AW14" s="31">
        <f>G14*AO14</f>
        <v>0</v>
      </c>
      <c r="AX14" s="31">
        <f>G14*AP14</f>
        <v>0</v>
      </c>
      <c r="AY14" s="32" t="s">
        <v>126</v>
      </c>
      <c r="AZ14" s="32" t="s">
        <v>127</v>
      </c>
      <c r="BA14" s="42" t="s">
        <v>128</v>
      </c>
      <c r="BC14" s="31">
        <f>AW14+AX14</f>
        <v>0</v>
      </c>
      <c r="BD14" s="31">
        <f>H14/(100-BE14)*100</f>
        <v>0</v>
      </c>
      <c r="BE14" s="31">
        <v>0</v>
      </c>
      <c r="BF14" s="31">
        <f>K14</f>
        <v>0.08775000000000001</v>
      </c>
      <c r="BH14" s="31">
        <f>G14*AO14</f>
        <v>0</v>
      </c>
      <c r="BI14" s="31">
        <f>G14*AP14</f>
        <v>0</v>
      </c>
      <c r="BJ14" s="31">
        <f>G14*H14</f>
        <v>0</v>
      </c>
      <c r="BK14" s="31"/>
      <c r="BL14" s="31">
        <v>60</v>
      </c>
      <c r="BW14" s="31">
        <v>21</v>
      </c>
    </row>
    <row r="15" spans="1:12" ht="15" customHeight="1">
      <c r="A15" s="60"/>
      <c r="D15" s="61" t="s">
        <v>129</v>
      </c>
      <c r="E15" s="62"/>
      <c r="G15" s="63">
        <v>35.1</v>
      </c>
      <c r="L15" s="64"/>
    </row>
    <row r="16" spans="1:75" ht="13.5" customHeight="1">
      <c r="A16" s="30" t="s">
        <v>130</v>
      </c>
      <c r="B16" s="3" t="s">
        <v>85</v>
      </c>
      <c r="C16" s="3" t="s">
        <v>131</v>
      </c>
      <c r="D16" s="78" t="s">
        <v>132</v>
      </c>
      <c r="E16" s="78"/>
      <c r="F16" s="3" t="s">
        <v>124</v>
      </c>
      <c r="G16" s="31">
        <f>'Stavební rozpočet'!G16</f>
        <v>52.7</v>
      </c>
      <c r="H16" s="170">
        <v>0</v>
      </c>
      <c r="I16" s="31">
        <f>G16*H16</f>
        <v>0</v>
      </c>
      <c r="J16" s="31">
        <f>'Stavební rozpočet'!J16</f>
        <v>0.00035</v>
      </c>
      <c r="K16" s="31">
        <f>G16*J16</f>
        <v>0.018445</v>
      </c>
      <c r="L16" s="59" t="s">
        <v>125</v>
      </c>
      <c r="Z16" s="31">
        <f>IF(AQ16="5",BJ16,0)</f>
        <v>0</v>
      </c>
      <c r="AB16" s="31">
        <f>IF(AQ16="1",BH16,0)</f>
        <v>0</v>
      </c>
      <c r="AC16" s="31">
        <f>IF(AQ16="1",BI16,0)</f>
        <v>0</v>
      </c>
      <c r="AD16" s="31">
        <f>IF(AQ16="7",BH16,0)</f>
        <v>0</v>
      </c>
      <c r="AE16" s="31">
        <f>IF(AQ16="7",BI16,0)</f>
        <v>0</v>
      </c>
      <c r="AF16" s="31">
        <f>IF(AQ16="2",BH16,0)</f>
        <v>0</v>
      </c>
      <c r="AG16" s="31">
        <f>IF(AQ16="2",BI16,0)</f>
        <v>0</v>
      </c>
      <c r="AH16" s="31">
        <f>IF(AQ16="0",BJ16,0)</f>
        <v>0</v>
      </c>
      <c r="AI16" s="42" t="s">
        <v>85</v>
      </c>
      <c r="AJ16" s="31">
        <f>IF(AN16=0,I16,0)</f>
        <v>0</v>
      </c>
      <c r="AK16" s="31">
        <f>IF(AN16=12,I16,0)</f>
        <v>0</v>
      </c>
      <c r="AL16" s="31">
        <f>IF(AN16=21,I16,0)</f>
        <v>0</v>
      </c>
      <c r="AN16" s="31">
        <v>21</v>
      </c>
      <c r="AO16" s="31">
        <f>H16*0.530506329113924</f>
        <v>0</v>
      </c>
      <c r="AP16" s="31">
        <f>H16*(1-0.530506329113924)</f>
        <v>0</v>
      </c>
      <c r="AQ16" s="32" t="s">
        <v>121</v>
      </c>
      <c r="AV16" s="31">
        <f>AW16+AX16</f>
        <v>0</v>
      </c>
      <c r="AW16" s="31">
        <f>G16*AO16</f>
        <v>0</v>
      </c>
      <c r="AX16" s="31">
        <f>G16*AP16</f>
        <v>0</v>
      </c>
      <c r="AY16" s="32" t="s">
        <v>126</v>
      </c>
      <c r="AZ16" s="32" t="s">
        <v>127</v>
      </c>
      <c r="BA16" s="42" t="s">
        <v>128</v>
      </c>
      <c r="BC16" s="31">
        <f>AW16+AX16</f>
        <v>0</v>
      </c>
      <c r="BD16" s="31">
        <f>H16/(100-BE16)*100</f>
        <v>0</v>
      </c>
      <c r="BE16" s="31">
        <v>0</v>
      </c>
      <c r="BF16" s="31">
        <f>K16</f>
        <v>0.018445</v>
      </c>
      <c r="BH16" s="31">
        <f>G16*AO16</f>
        <v>0</v>
      </c>
      <c r="BI16" s="31">
        <f>G16*AP16</f>
        <v>0</v>
      </c>
      <c r="BJ16" s="31">
        <f>G16*H16</f>
        <v>0</v>
      </c>
      <c r="BK16" s="31"/>
      <c r="BL16" s="31">
        <v>60</v>
      </c>
      <c r="BW16" s="31">
        <v>21</v>
      </c>
    </row>
    <row r="17" spans="1:12" ht="15" customHeight="1">
      <c r="A17" s="60"/>
      <c r="D17" s="61" t="s">
        <v>133</v>
      </c>
      <c r="E17" s="62"/>
      <c r="G17" s="63">
        <v>52.7</v>
      </c>
      <c r="L17" s="64"/>
    </row>
    <row r="18" spans="1:75" ht="13.5" customHeight="1">
      <c r="A18" s="30" t="s">
        <v>134</v>
      </c>
      <c r="B18" s="3" t="s">
        <v>85</v>
      </c>
      <c r="C18" s="3" t="s">
        <v>135</v>
      </c>
      <c r="D18" s="78" t="s">
        <v>136</v>
      </c>
      <c r="E18" s="78"/>
      <c r="F18" s="3" t="s">
        <v>124</v>
      </c>
      <c r="G18" s="31">
        <f>'Stavební rozpočet'!G18</f>
        <v>17.6</v>
      </c>
      <c r="H18" s="170">
        <v>0</v>
      </c>
      <c r="I18" s="31">
        <f>G18*H18</f>
        <v>0</v>
      </c>
      <c r="J18" s="31">
        <f>'Stavební rozpočet'!J18</f>
        <v>0.00179</v>
      </c>
      <c r="K18" s="31">
        <f>G18*J18</f>
        <v>0.031504000000000004</v>
      </c>
      <c r="L18" s="59" t="s">
        <v>125</v>
      </c>
      <c r="Z18" s="31">
        <f>IF(AQ18="5",BJ18,0)</f>
        <v>0</v>
      </c>
      <c r="AB18" s="31">
        <f>IF(AQ18="1",BH18,0)</f>
        <v>0</v>
      </c>
      <c r="AC18" s="31">
        <f>IF(AQ18="1",BI18,0)</f>
        <v>0</v>
      </c>
      <c r="AD18" s="31">
        <f>IF(AQ18="7",BH18,0)</f>
        <v>0</v>
      </c>
      <c r="AE18" s="31">
        <f>IF(AQ18="7",BI18,0)</f>
        <v>0</v>
      </c>
      <c r="AF18" s="31">
        <f>IF(AQ18="2",BH18,0)</f>
        <v>0</v>
      </c>
      <c r="AG18" s="31">
        <f>IF(AQ18="2",BI18,0)</f>
        <v>0</v>
      </c>
      <c r="AH18" s="31">
        <f>IF(AQ18="0",BJ18,0)</f>
        <v>0</v>
      </c>
      <c r="AI18" s="42" t="s">
        <v>85</v>
      </c>
      <c r="AJ18" s="31">
        <f>IF(AN18=0,I18,0)</f>
        <v>0</v>
      </c>
      <c r="AK18" s="31">
        <f>IF(AN18=12,I18,0)</f>
        <v>0</v>
      </c>
      <c r="AL18" s="31">
        <f>IF(AN18=21,I18,0)</f>
        <v>0</v>
      </c>
      <c r="AN18" s="31">
        <v>21</v>
      </c>
      <c r="AO18" s="31">
        <f>H18*0.547965095986038</f>
        <v>0</v>
      </c>
      <c r="AP18" s="31">
        <f>H18*(1-0.547965095986038)</f>
        <v>0</v>
      </c>
      <c r="AQ18" s="32" t="s">
        <v>121</v>
      </c>
      <c r="AV18" s="31">
        <f>AW18+AX18</f>
        <v>0</v>
      </c>
      <c r="AW18" s="31">
        <f>G18*AO18</f>
        <v>0</v>
      </c>
      <c r="AX18" s="31">
        <f>G18*AP18</f>
        <v>0</v>
      </c>
      <c r="AY18" s="32" t="s">
        <v>126</v>
      </c>
      <c r="AZ18" s="32" t="s">
        <v>127</v>
      </c>
      <c r="BA18" s="42" t="s">
        <v>128</v>
      </c>
      <c r="BC18" s="31">
        <f>AW18+AX18</f>
        <v>0</v>
      </c>
      <c r="BD18" s="31">
        <f>H18/(100-BE18)*100</f>
        <v>0</v>
      </c>
      <c r="BE18" s="31">
        <v>0</v>
      </c>
      <c r="BF18" s="31">
        <f>K18</f>
        <v>0.031504000000000004</v>
      </c>
      <c r="BH18" s="31">
        <f>G18*AO18</f>
        <v>0</v>
      </c>
      <c r="BI18" s="31">
        <f>G18*AP18</f>
        <v>0</v>
      </c>
      <c r="BJ18" s="31">
        <f>G18*H18</f>
        <v>0</v>
      </c>
      <c r="BK18" s="31"/>
      <c r="BL18" s="31">
        <v>60</v>
      </c>
      <c r="BW18" s="31">
        <v>21</v>
      </c>
    </row>
    <row r="19" spans="1:12" ht="13.5" customHeight="1">
      <c r="A19" s="60"/>
      <c r="D19" s="123" t="s">
        <v>137</v>
      </c>
      <c r="E19" s="123"/>
      <c r="F19" s="123"/>
      <c r="G19" s="123"/>
      <c r="H19" s="123"/>
      <c r="I19" s="123"/>
      <c r="J19" s="123"/>
      <c r="K19" s="123"/>
      <c r="L19" s="123"/>
    </row>
    <row r="20" spans="1:12" ht="15" customHeight="1">
      <c r="A20" s="60"/>
      <c r="D20" s="61" t="s">
        <v>138</v>
      </c>
      <c r="E20" s="62"/>
      <c r="G20" s="63">
        <v>17.6</v>
      </c>
      <c r="L20" s="64"/>
    </row>
    <row r="21" spans="1:47" ht="15" customHeight="1">
      <c r="A21" s="55"/>
      <c r="B21" s="56" t="s">
        <v>85</v>
      </c>
      <c r="C21" s="56" t="s">
        <v>139</v>
      </c>
      <c r="D21" s="122" t="s">
        <v>140</v>
      </c>
      <c r="E21" s="122"/>
      <c r="F21" s="57" t="s">
        <v>79</v>
      </c>
      <c r="G21" s="57" t="s">
        <v>79</v>
      </c>
      <c r="H21" s="57" t="s">
        <v>79</v>
      </c>
      <c r="I21" s="36">
        <f>SUM(I22:I30)</f>
        <v>0</v>
      </c>
      <c r="J21" s="42"/>
      <c r="K21" s="36">
        <f>SUM(K22:K30)</f>
        <v>1.688389</v>
      </c>
      <c r="L21" s="58"/>
      <c r="AI21" s="42" t="s">
        <v>85</v>
      </c>
      <c r="AS21" s="36">
        <f>SUM(AJ22:AJ30)</f>
        <v>0</v>
      </c>
      <c r="AT21" s="36">
        <f>SUM(AK22:AK30)</f>
        <v>0</v>
      </c>
      <c r="AU21" s="36">
        <f>SUM(AL22:AL30)</f>
        <v>0</v>
      </c>
    </row>
    <row r="22" spans="1:75" ht="13.5" customHeight="1">
      <c r="A22" s="30" t="s">
        <v>141</v>
      </c>
      <c r="B22" s="3" t="s">
        <v>85</v>
      </c>
      <c r="C22" s="3" t="s">
        <v>142</v>
      </c>
      <c r="D22" s="78" t="s">
        <v>143</v>
      </c>
      <c r="E22" s="78"/>
      <c r="F22" s="3" t="s">
        <v>124</v>
      </c>
      <c r="G22" s="31">
        <f>'Stavební rozpočet'!G21</f>
        <v>71.7</v>
      </c>
      <c r="H22" s="170">
        <v>0</v>
      </c>
      <c r="I22" s="31">
        <f>G22*H22</f>
        <v>0</v>
      </c>
      <c r="J22" s="31">
        <f>'Stavební rozpočet'!J21</f>
        <v>0.008</v>
      </c>
      <c r="K22" s="31">
        <f>G22*J22</f>
        <v>0.5736</v>
      </c>
      <c r="L22" s="59" t="s">
        <v>125</v>
      </c>
      <c r="Z22" s="31">
        <f>IF(AQ22="5",BJ22,0)</f>
        <v>0</v>
      </c>
      <c r="AB22" s="31">
        <f>IF(AQ22="1",BH22,0)</f>
        <v>0</v>
      </c>
      <c r="AC22" s="31">
        <f>IF(AQ22="1",BI22,0)</f>
        <v>0</v>
      </c>
      <c r="AD22" s="31">
        <f>IF(AQ22="7",BH22,0)</f>
        <v>0</v>
      </c>
      <c r="AE22" s="31">
        <f>IF(AQ22="7",BI22,0)</f>
        <v>0</v>
      </c>
      <c r="AF22" s="31">
        <f>IF(AQ22="2",BH22,0)</f>
        <v>0</v>
      </c>
      <c r="AG22" s="31">
        <f>IF(AQ22="2",BI22,0)</f>
        <v>0</v>
      </c>
      <c r="AH22" s="31">
        <f>IF(AQ22="0",BJ22,0)</f>
        <v>0</v>
      </c>
      <c r="AI22" s="42" t="s">
        <v>85</v>
      </c>
      <c r="AJ22" s="31">
        <f>IF(AN22=0,I22,0)</f>
        <v>0</v>
      </c>
      <c r="AK22" s="31">
        <f>IF(AN22=12,I22,0)</f>
        <v>0</v>
      </c>
      <c r="AL22" s="31">
        <f>IF(AN22=21,I22,0)</f>
        <v>0</v>
      </c>
      <c r="AN22" s="31">
        <v>21</v>
      </c>
      <c r="AO22" s="31">
        <f>H22*0.583280651801689</f>
        <v>0</v>
      </c>
      <c r="AP22" s="31">
        <f>H22*(1-0.583280651801689)</f>
        <v>0</v>
      </c>
      <c r="AQ22" s="32" t="s">
        <v>121</v>
      </c>
      <c r="AV22" s="31">
        <f>AW22+AX22</f>
        <v>0</v>
      </c>
      <c r="AW22" s="31">
        <f>G22*AO22</f>
        <v>0</v>
      </c>
      <c r="AX22" s="31">
        <f>G22*AP22</f>
        <v>0</v>
      </c>
      <c r="AY22" s="32" t="s">
        <v>144</v>
      </c>
      <c r="AZ22" s="32" t="s">
        <v>127</v>
      </c>
      <c r="BA22" s="42" t="s">
        <v>128</v>
      </c>
      <c r="BC22" s="31">
        <f>AW22+AX22</f>
        <v>0</v>
      </c>
      <c r="BD22" s="31">
        <f>H22/(100-BE22)*100</f>
        <v>0</v>
      </c>
      <c r="BE22" s="31">
        <v>0</v>
      </c>
      <c r="BF22" s="31">
        <f>K22</f>
        <v>0.5736</v>
      </c>
      <c r="BH22" s="31">
        <f>G22*AO22</f>
        <v>0</v>
      </c>
      <c r="BI22" s="31">
        <f>G22*AP22</f>
        <v>0</v>
      </c>
      <c r="BJ22" s="31">
        <f>G22*H22</f>
        <v>0</v>
      </c>
      <c r="BK22" s="31"/>
      <c r="BL22" s="31">
        <v>62</v>
      </c>
      <c r="BW22" s="31">
        <v>21</v>
      </c>
    </row>
    <row r="23" spans="1:12" ht="15" customHeight="1">
      <c r="A23" s="60"/>
      <c r="D23" s="61" t="s">
        <v>145</v>
      </c>
      <c r="E23" s="62"/>
      <c r="G23" s="63">
        <v>71.7</v>
      </c>
      <c r="L23" s="64"/>
    </row>
    <row r="24" spans="1:75" ht="13.5" customHeight="1">
      <c r="A24" s="30" t="s">
        <v>146</v>
      </c>
      <c r="B24" s="3" t="s">
        <v>85</v>
      </c>
      <c r="C24" s="3" t="s">
        <v>147</v>
      </c>
      <c r="D24" s="78" t="s">
        <v>148</v>
      </c>
      <c r="E24" s="78"/>
      <c r="F24" s="3" t="s">
        <v>124</v>
      </c>
      <c r="G24" s="31">
        <f>'Stavební rozpočet'!G23</f>
        <v>71.7</v>
      </c>
      <c r="H24" s="170">
        <v>0</v>
      </c>
      <c r="I24" s="31">
        <f>G24*H24</f>
        <v>0</v>
      </c>
      <c r="J24" s="31">
        <f>'Stavební rozpočet'!J23</f>
        <v>0.01118</v>
      </c>
      <c r="K24" s="31">
        <f>G24*J24</f>
        <v>0.801606</v>
      </c>
      <c r="L24" s="59" t="s">
        <v>125</v>
      </c>
      <c r="Z24" s="31">
        <f>IF(AQ24="5",BJ24,0)</f>
        <v>0</v>
      </c>
      <c r="AB24" s="31">
        <f>IF(AQ24="1",BH24,0)</f>
        <v>0</v>
      </c>
      <c r="AC24" s="31">
        <f>IF(AQ24="1",BI24,0)</f>
        <v>0</v>
      </c>
      <c r="AD24" s="31">
        <f>IF(AQ24="7",BH24,0)</f>
        <v>0</v>
      </c>
      <c r="AE24" s="31">
        <f>IF(AQ24="7",BI24,0)</f>
        <v>0</v>
      </c>
      <c r="AF24" s="31">
        <f>IF(AQ24="2",BH24,0)</f>
        <v>0</v>
      </c>
      <c r="AG24" s="31">
        <f>IF(AQ24="2",BI24,0)</f>
        <v>0</v>
      </c>
      <c r="AH24" s="31">
        <f>IF(AQ24="0",BJ24,0)</f>
        <v>0</v>
      </c>
      <c r="AI24" s="42" t="s">
        <v>85</v>
      </c>
      <c r="AJ24" s="31">
        <f>IF(AN24=0,I24,0)</f>
        <v>0</v>
      </c>
      <c r="AK24" s="31">
        <f>IF(AN24=12,I24,0)</f>
        <v>0</v>
      </c>
      <c r="AL24" s="31">
        <f>IF(AN24=21,I24,0)</f>
        <v>0</v>
      </c>
      <c r="AN24" s="31">
        <v>21</v>
      </c>
      <c r="AO24" s="31">
        <f>H24*0.648897377506795</f>
        <v>0</v>
      </c>
      <c r="AP24" s="31">
        <f>H24*(1-0.648897377506795)</f>
        <v>0</v>
      </c>
      <c r="AQ24" s="32" t="s">
        <v>121</v>
      </c>
      <c r="AV24" s="31">
        <f>AW24+AX24</f>
        <v>0</v>
      </c>
      <c r="AW24" s="31">
        <f>G24*AO24</f>
        <v>0</v>
      </c>
      <c r="AX24" s="31">
        <f>G24*AP24</f>
        <v>0</v>
      </c>
      <c r="AY24" s="32" t="s">
        <v>144</v>
      </c>
      <c r="AZ24" s="32" t="s">
        <v>127</v>
      </c>
      <c r="BA24" s="42" t="s">
        <v>128</v>
      </c>
      <c r="BC24" s="31">
        <f>AW24+AX24</f>
        <v>0</v>
      </c>
      <c r="BD24" s="31">
        <f>H24/(100-BE24)*100</f>
        <v>0</v>
      </c>
      <c r="BE24" s="31">
        <v>0</v>
      </c>
      <c r="BF24" s="31">
        <f>K24</f>
        <v>0.801606</v>
      </c>
      <c r="BH24" s="31">
        <f>G24*AO24</f>
        <v>0</v>
      </c>
      <c r="BI24" s="31">
        <f>G24*AP24</f>
        <v>0</v>
      </c>
      <c r="BJ24" s="31">
        <f>G24*H24</f>
        <v>0</v>
      </c>
      <c r="BK24" s="31"/>
      <c r="BL24" s="31">
        <v>62</v>
      </c>
      <c r="BW24" s="31">
        <v>21</v>
      </c>
    </row>
    <row r="25" spans="1:12" ht="13.5" customHeight="1">
      <c r="A25" s="60"/>
      <c r="D25" s="123" t="s">
        <v>149</v>
      </c>
      <c r="E25" s="123"/>
      <c r="F25" s="123"/>
      <c r="G25" s="123"/>
      <c r="H25" s="123"/>
      <c r="I25" s="123"/>
      <c r="J25" s="123"/>
      <c r="K25" s="123"/>
      <c r="L25" s="123"/>
    </row>
    <row r="26" spans="1:12" ht="15" customHeight="1">
      <c r="A26" s="60"/>
      <c r="D26" s="61" t="s">
        <v>145</v>
      </c>
      <c r="E26" s="62"/>
      <c r="G26" s="63">
        <v>71.7</v>
      </c>
      <c r="L26" s="64"/>
    </row>
    <row r="27" spans="1:75" ht="13.5" customHeight="1">
      <c r="A27" s="30" t="s">
        <v>150</v>
      </c>
      <c r="B27" s="3" t="s">
        <v>85</v>
      </c>
      <c r="C27" s="3" t="s">
        <v>151</v>
      </c>
      <c r="D27" s="78" t="s">
        <v>152</v>
      </c>
      <c r="E27" s="78"/>
      <c r="F27" s="3" t="s">
        <v>124</v>
      </c>
      <c r="G27" s="31">
        <f>'Stavební rozpočet'!G25</f>
        <v>17.6</v>
      </c>
      <c r="H27" s="170">
        <v>0</v>
      </c>
      <c r="I27" s="31">
        <f>G27*H27</f>
        <v>0</v>
      </c>
      <c r="J27" s="31">
        <f>'Stavební rozpočet'!J25</f>
        <v>0.00063</v>
      </c>
      <c r="K27" s="31">
        <f>G27*J27</f>
        <v>0.011088</v>
      </c>
      <c r="L27" s="59" t="s">
        <v>125</v>
      </c>
      <c r="Z27" s="31">
        <f>IF(AQ27="5",BJ27,0)</f>
        <v>0</v>
      </c>
      <c r="AB27" s="31">
        <f>IF(AQ27="1",BH27,0)</f>
        <v>0</v>
      </c>
      <c r="AC27" s="31">
        <f>IF(AQ27="1",BI27,0)</f>
        <v>0</v>
      </c>
      <c r="AD27" s="31">
        <f>IF(AQ27="7",BH27,0)</f>
        <v>0</v>
      </c>
      <c r="AE27" s="31">
        <f>IF(AQ27="7",BI27,0)</f>
        <v>0</v>
      </c>
      <c r="AF27" s="31">
        <f>IF(AQ27="2",BH27,0)</f>
        <v>0</v>
      </c>
      <c r="AG27" s="31">
        <f>IF(AQ27="2",BI27,0)</f>
        <v>0</v>
      </c>
      <c r="AH27" s="31">
        <f>IF(AQ27="0",BJ27,0)</f>
        <v>0</v>
      </c>
      <c r="AI27" s="42" t="s">
        <v>85</v>
      </c>
      <c r="AJ27" s="31">
        <f>IF(AN27=0,I27,0)</f>
        <v>0</v>
      </c>
      <c r="AK27" s="31">
        <f>IF(AN27=12,I27,0)</f>
        <v>0</v>
      </c>
      <c r="AL27" s="31">
        <f>IF(AN27=21,I27,0)</f>
        <v>0</v>
      </c>
      <c r="AN27" s="31">
        <v>21</v>
      </c>
      <c r="AO27" s="31">
        <f>H27*0.606978998384491</f>
        <v>0</v>
      </c>
      <c r="AP27" s="31">
        <f>H27*(1-0.606978998384491)</f>
        <v>0</v>
      </c>
      <c r="AQ27" s="32" t="s">
        <v>121</v>
      </c>
      <c r="AV27" s="31">
        <f>AW27+AX27</f>
        <v>0</v>
      </c>
      <c r="AW27" s="31">
        <f>G27*AO27</f>
        <v>0</v>
      </c>
      <c r="AX27" s="31">
        <f>G27*AP27</f>
        <v>0</v>
      </c>
      <c r="AY27" s="32" t="s">
        <v>144</v>
      </c>
      <c r="AZ27" s="32" t="s">
        <v>127</v>
      </c>
      <c r="BA27" s="42" t="s">
        <v>128</v>
      </c>
      <c r="BC27" s="31">
        <f>AW27+AX27</f>
        <v>0</v>
      </c>
      <c r="BD27" s="31">
        <f>H27/(100-BE27)*100</f>
        <v>0</v>
      </c>
      <c r="BE27" s="31">
        <v>0</v>
      </c>
      <c r="BF27" s="31">
        <f>K27</f>
        <v>0.011088</v>
      </c>
      <c r="BH27" s="31">
        <f>G27*AO27</f>
        <v>0</v>
      </c>
      <c r="BI27" s="31">
        <f>G27*AP27</f>
        <v>0</v>
      </c>
      <c r="BJ27" s="31">
        <f>G27*H27</f>
        <v>0</v>
      </c>
      <c r="BK27" s="31"/>
      <c r="BL27" s="31">
        <v>62</v>
      </c>
      <c r="BW27" s="31">
        <v>21</v>
      </c>
    </row>
    <row r="28" spans="1:12" ht="13.5" customHeight="1">
      <c r="A28" s="60"/>
      <c r="D28" s="123" t="s">
        <v>153</v>
      </c>
      <c r="E28" s="123"/>
      <c r="F28" s="123"/>
      <c r="G28" s="123"/>
      <c r="H28" s="123"/>
      <c r="I28" s="123"/>
      <c r="J28" s="123"/>
      <c r="K28" s="123"/>
      <c r="L28" s="123"/>
    </row>
    <row r="29" spans="1:12" ht="15" customHeight="1">
      <c r="A29" s="60"/>
      <c r="D29" s="61" t="s">
        <v>138</v>
      </c>
      <c r="E29" s="62"/>
      <c r="G29" s="63">
        <v>17.6</v>
      </c>
      <c r="L29" s="64"/>
    </row>
    <row r="30" spans="1:75" ht="13.5" customHeight="1">
      <c r="A30" s="30" t="s">
        <v>154</v>
      </c>
      <c r="B30" s="3" t="s">
        <v>85</v>
      </c>
      <c r="C30" s="3" t="s">
        <v>155</v>
      </c>
      <c r="D30" s="78" t="s">
        <v>156</v>
      </c>
      <c r="E30" s="78"/>
      <c r="F30" s="3" t="s">
        <v>124</v>
      </c>
      <c r="G30" s="31">
        <f>'Stavební rozpočet'!G27</f>
        <v>15.5</v>
      </c>
      <c r="H30" s="170">
        <v>0</v>
      </c>
      <c r="I30" s="31">
        <f>G30*H30</f>
        <v>0</v>
      </c>
      <c r="J30" s="31">
        <f>'Stavební rozpočet'!J27</f>
        <v>0.01949</v>
      </c>
      <c r="K30" s="31">
        <f>G30*J30</f>
        <v>0.302095</v>
      </c>
      <c r="L30" s="59" t="s">
        <v>125</v>
      </c>
      <c r="Z30" s="31">
        <f>IF(AQ30="5",BJ30,0)</f>
        <v>0</v>
      </c>
      <c r="AB30" s="31">
        <f>IF(AQ30="1",BH30,0)</f>
        <v>0</v>
      </c>
      <c r="AC30" s="31">
        <f>IF(AQ30="1",BI30,0)</f>
        <v>0</v>
      </c>
      <c r="AD30" s="31">
        <f>IF(AQ30="7",BH30,0)</f>
        <v>0</v>
      </c>
      <c r="AE30" s="31">
        <f>IF(AQ30="7",BI30,0)</f>
        <v>0</v>
      </c>
      <c r="AF30" s="31">
        <f>IF(AQ30="2",BH30,0)</f>
        <v>0</v>
      </c>
      <c r="AG30" s="31">
        <f>IF(AQ30="2",BI30,0)</f>
        <v>0</v>
      </c>
      <c r="AH30" s="31">
        <f>IF(AQ30="0",BJ30,0)</f>
        <v>0</v>
      </c>
      <c r="AI30" s="42" t="s">
        <v>85</v>
      </c>
      <c r="AJ30" s="31">
        <f>IF(AN30=0,I30,0)</f>
        <v>0</v>
      </c>
      <c r="AK30" s="31">
        <f>IF(AN30=12,I30,0)</f>
        <v>0</v>
      </c>
      <c r="AL30" s="31">
        <f>IF(AN30=21,I30,0)</f>
        <v>0</v>
      </c>
      <c r="AN30" s="31">
        <v>21</v>
      </c>
      <c r="AO30" s="31">
        <f>H30*0.0340310786106033</f>
        <v>0</v>
      </c>
      <c r="AP30" s="31">
        <f>H30*(1-0.0340310786106033)</f>
        <v>0</v>
      </c>
      <c r="AQ30" s="32" t="s">
        <v>121</v>
      </c>
      <c r="AV30" s="31">
        <f>AW30+AX30</f>
        <v>0</v>
      </c>
      <c r="AW30" s="31">
        <f>G30*AO30</f>
        <v>0</v>
      </c>
      <c r="AX30" s="31">
        <f>G30*AP30</f>
        <v>0</v>
      </c>
      <c r="AY30" s="32" t="s">
        <v>144</v>
      </c>
      <c r="AZ30" s="32" t="s">
        <v>127</v>
      </c>
      <c r="BA30" s="42" t="s">
        <v>128</v>
      </c>
      <c r="BC30" s="31">
        <f>AW30+AX30</f>
        <v>0</v>
      </c>
      <c r="BD30" s="31">
        <f>H30/(100-BE30)*100</f>
        <v>0</v>
      </c>
      <c r="BE30" s="31">
        <v>0</v>
      </c>
      <c r="BF30" s="31">
        <f>K30</f>
        <v>0.302095</v>
      </c>
      <c r="BH30" s="31">
        <f>G30*AO30</f>
        <v>0</v>
      </c>
      <c r="BI30" s="31">
        <f>G30*AP30</f>
        <v>0</v>
      </c>
      <c r="BJ30" s="31">
        <f>G30*H30</f>
        <v>0</v>
      </c>
      <c r="BK30" s="31"/>
      <c r="BL30" s="31">
        <v>62</v>
      </c>
      <c r="BW30" s="31">
        <v>21</v>
      </c>
    </row>
    <row r="31" spans="1:12" ht="15" customHeight="1">
      <c r="A31" s="60"/>
      <c r="D31" s="61" t="s">
        <v>157</v>
      </c>
      <c r="E31" s="62"/>
      <c r="G31" s="63">
        <v>15.500000000000002</v>
      </c>
      <c r="L31" s="64"/>
    </row>
    <row r="32" spans="1:47" ht="15" customHeight="1">
      <c r="A32" s="55"/>
      <c r="B32" s="56" t="s">
        <v>85</v>
      </c>
      <c r="C32" s="56" t="s">
        <v>158</v>
      </c>
      <c r="D32" s="122" t="s">
        <v>159</v>
      </c>
      <c r="E32" s="122"/>
      <c r="F32" s="57" t="s">
        <v>79</v>
      </c>
      <c r="G32" s="57" t="s">
        <v>79</v>
      </c>
      <c r="H32" s="57" t="s">
        <v>79</v>
      </c>
      <c r="I32" s="36">
        <f>SUM(I33:I40)</f>
        <v>0</v>
      </c>
      <c r="J32" s="42"/>
      <c r="K32" s="36">
        <f>SUM(K33:K40)</f>
        <v>0.20836085</v>
      </c>
      <c r="L32" s="58"/>
      <c r="AI32" s="42" t="s">
        <v>85</v>
      </c>
      <c r="AS32" s="36">
        <f>SUM(AJ33:AJ40)</f>
        <v>0</v>
      </c>
      <c r="AT32" s="36">
        <f>SUM(AK33:AK40)</f>
        <v>0</v>
      </c>
      <c r="AU32" s="36">
        <f>SUM(AL33:AL40)</f>
        <v>0</v>
      </c>
    </row>
    <row r="33" spans="1:75" ht="13.5" customHeight="1">
      <c r="A33" s="30" t="s">
        <v>160</v>
      </c>
      <c r="B33" s="3" t="s">
        <v>85</v>
      </c>
      <c r="C33" s="3" t="s">
        <v>161</v>
      </c>
      <c r="D33" s="78" t="s">
        <v>162</v>
      </c>
      <c r="E33" s="78"/>
      <c r="F33" s="3" t="s">
        <v>124</v>
      </c>
      <c r="G33" s="31">
        <f>'Stavební rozpočet'!G30</f>
        <v>10.08</v>
      </c>
      <c r="H33" s="170">
        <v>0</v>
      </c>
      <c r="I33" s="31">
        <f>G33*H33</f>
        <v>0</v>
      </c>
      <c r="J33" s="31">
        <f>'Stavební rozpočet'!J30</f>
        <v>0.006</v>
      </c>
      <c r="K33" s="31">
        <f>G33*J33</f>
        <v>0.06048</v>
      </c>
      <c r="L33" s="59" t="s">
        <v>125</v>
      </c>
      <c r="Z33" s="31">
        <f>IF(AQ33="5",BJ33,0)</f>
        <v>0</v>
      </c>
      <c r="AB33" s="31">
        <f>IF(AQ33="1",BH33,0)</f>
        <v>0</v>
      </c>
      <c r="AC33" s="31">
        <f>IF(AQ33="1",BI33,0)</f>
        <v>0</v>
      </c>
      <c r="AD33" s="31">
        <f>IF(AQ33="7",BH33,0)</f>
        <v>0</v>
      </c>
      <c r="AE33" s="31">
        <f>IF(AQ33="7",BI33,0)</f>
        <v>0</v>
      </c>
      <c r="AF33" s="31">
        <f>IF(AQ33="2",BH33,0)</f>
        <v>0</v>
      </c>
      <c r="AG33" s="31">
        <f>IF(AQ33="2",BI33,0)</f>
        <v>0</v>
      </c>
      <c r="AH33" s="31">
        <f>IF(AQ33="0",BJ33,0)</f>
        <v>0</v>
      </c>
      <c r="AI33" s="42" t="s">
        <v>85</v>
      </c>
      <c r="AJ33" s="31">
        <f>IF(AN33=0,I33,0)</f>
        <v>0</v>
      </c>
      <c r="AK33" s="31">
        <f>IF(AN33=12,I33,0)</f>
        <v>0</v>
      </c>
      <c r="AL33" s="31">
        <f>IF(AN33=21,I33,0)</f>
        <v>0</v>
      </c>
      <c r="AN33" s="31">
        <v>21</v>
      </c>
      <c r="AO33" s="31">
        <f>H33*0</f>
        <v>0</v>
      </c>
      <c r="AP33" s="31">
        <f>H33*(1-0)</f>
        <v>0</v>
      </c>
      <c r="AQ33" s="32" t="s">
        <v>154</v>
      </c>
      <c r="AV33" s="31">
        <f>AW33+AX33</f>
        <v>0</v>
      </c>
      <c r="AW33" s="31">
        <f>G33*AO33</f>
        <v>0</v>
      </c>
      <c r="AX33" s="31">
        <f>G33*AP33</f>
        <v>0</v>
      </c>
      <c r="AY33" s="32" t="s">
        <v>163</v>
      </c>
      <c r="AZ33" s="32" t="s">
        <v>164</v>
      </c>
      <c r="BA33" s="42" t="s">
        <v>128</v>
      </c>
      <c r="BC33" s="31">
        <f>AW33+AX33</f>
        <v>0</v>
      </c>
      <c r="BD33" s="31">
        <f>H33/(100-BE33)*100</f>
        <v>0</v>
      </c>
      <c r="BE33" s="31">
        <v>0</v>
      </c>
      <c r="BF33" s="31">
        <f>K33</f>
        <v>0.06048</v>
      </c>
      <c r="BH33" s="31">
        <f>G33*AO33</f>
        <v>0</v>
      </c>
      <c r="BI33" s="31">
        <f>G33*AP33</f>
        <v>0</v>
      </c>
      <c r="BJ33" s="31">
        <f>G33*H33</f>
        <v>0</v>
      </c>
      <c r="BK33" s="31"/>
      <c r="BL33" s="31">
        <v>712</v>
      </c>
      <c r="BW33" s="31">
        <v>21</v>
      </c>
    </row>
    <row r="34" spans="1:12" ht="13.5" customHeight="1">
      <c r="A34" s="60"/>
      <c r="D34" s="123" t="s">
        <v>165</v>
      </c>
      <c r="E34" s="123"/>
      <c r="F34" s="123"/>
      <c r="G34" s="123"/>
      <c r="H34" s="123"/>
      <c r="I34" s="123"/>
      <c r="J34" s="123"/>
      <c r="K34" s="123"/>
      <c r="L34" s="123"/>
    </row>
    <row r="35" spans="1:12" ht="15" customHeight="1">
      <c r="A35" s="60"/>
      <c r="D35" s="61" t="s">
        <v>166</v>
      </c>
      <c r="E35" s="62"/>
      <c r="G35" s="63">
        <v>10.08</v>
      </c>
      <c r="L35" s="64"/>
    </row>
    <row r="36" spans="1:75" ht="13.5" customHeight="1">
      <c r="A36" s="30" t="s">
        <v>167</v>
      </c>
      <c r="B36" s="3" t="s">
        <v>85</v>
      </c>
      <c r="C36" s="3" t="s">
        <v>168</v>
      </c>
      <c r="D36" s="78" t="s">
        <v>169</v>
      </c>
      <c r="E36" s="78"/>
      <c r="F36" s="3" t="s">
        <v>124</v>
      </c>
      <c r="G36" s="31">
        <f>'Stavební rozpočet'!G32</f>
        <v>36.695</v>
      </c>
      <c r="H36" s="170">
        <v>0</v>
      </c>
      <c r="I36" s="31">
        <f>G36*H36</f>
        <v>0</v>
      </c>
      <c r="J36" s="31">
        <f>'Stavební rozpočet'!J32</f>
        <v>0.00403</v>
      </c>
      <c r="K36" s="31">
        <f>G36*J36</f>
        <v>0.14788084999999998</v>
      </c>
      <c r="L36" s="59" t="s">
        <v>125</v>
      </c>
      <c r="Z36" s="31">
        <f>IF(AQ36="5",BJ36,0)</f>
        <v>0</v>
      </c>
      <c r="AB36" s="31">
        <f>IF(AQ36="1",BH36,0)</f>
        <v>0</v>
      </c>
      <c r="AC36" s="31">
        <f>IF(AQ36="1",BI36,0)</f>
        <v>0</v>
      </c>
      <c r="AD36" s="31">
        <f>IF(AQ36="7",BH36,0)</f>
        <v>0</v>
      </c>
      <c r="AE36" s="31">
        <f>IF(AQ36="7",BI36,0)</f>
        <v>0</v>
      </c>
      <c r="AF36" s="31">
        <f>IF(AQ36="2",BH36,0)</f>
        <v>0</v>
      </c>
      <c r="AG36" s="31">
        <f>IF(AQ36="2",BI36,0)</f>
        <v>0</v>
      </c>
      <c r="AH36" s="31">
        <f>IF(AQ36="0",BJ36,0)</f>
        <v>0</v>
      </c>
      <c r="AI36" s="42" t="s">
        <v>85</v>
      </c>
      <c r="AJ36" s="31">
        <f>IF(AN36=0,I36,0)</f>
        <v>0</v>
      </c>
      <c r="AK36" s="31">
        <f>IF(AN36=12,I36,0)</f>
        <v>0</v>
      </c>
      <c r="AL36" s="31">
        <f>IF(AN36=21,I36,0)</f>
        <v>0</v>
      </c>
      <c r="AN36" s="31">
        <v>21</v>
      </c>
      <c r="AO36" s="31">
        <f>H36*0.754335861335336</f>
        <v>0</v>
      </c>
      <c r="AP36" s="31">
        <f>H36*(1-0.754335861335336)</f>
        <v>0</v>
      </c>
      <c r="AQ36" s="32" t="s">
        <v>154</v>
      </c>
      <c r="AV36" s="31">
        <f>AW36+AX36</f>
        <v>0</v>
      </c>
      <c r="AW36" s="31">
        <f>G36*AO36</f>
        <v>0</v>
      </c>
      <c r="AX36" s="31">
        <f>G36*AP36</f>
        <v>0</v>
      </c>
      <c r="AY36" s="32" t="s">
        <v>163</v>
      </c>
      <c r="AZ36" s="32" t="s">
        <v>164</v>
      </c>
      <c r="BA36" s="42" t="s">
        <v>128</v>
      </c>
      <c r="BC36" s="31">
        <f>AW36+AX36</f>
        <v>0</v>
      </c>
      <c r="BD36" s="31">
        <f>H36/(100-BE36)*100</f>
        <v>0</v>
      </c>
      <c r="BE36" s="31">
        <v>0</v>
      </c>
      <c r="BF36" s="31">
        <f>K36</f>
        <v>0.14788084999999998</v>
      </c>
      <c r="BH36" s="31">
        <f>G36*AO36</f>
        <v>0</v>
      </c>
      <c r="BI36" s="31">
        <f>G36*AP36</f>
        <v>0</v>
      </c>
      <c r="BJ36" s="31">
        <f>G36*H36</f>
        <v>0</v>
      </c>
      <c r="BK36" s="31"/>
      <c r="BL36" s="31">
        <v>712</v>
      </c>
      <c r="BW36" s="31">
        <v>21</v>
      </c>
    </row>
    <row r="37" spans="1:12" ht="27" customHeight="1">
      <c r="A37" s="60"/>
      <c r="D37" s="123" t="s">
        <v>170</v>
      </c>
      <c r="E37" s="123"/>
      <c r="F37" s="123"/>
      <c r="G37" s="123"/>
      <c r="H37" s="123"/>
      <c r="I37" s="123"/>
      <c r="J37" s="123"/>
      <c r="K37" s="123"/>
      <c r="L37" s="123"/>
    </row>
    <row r="38" spans="1:12" ht="15" customHeight="1">
      <c r="A38" s="60"/>
      <c r="D38" s="61" t="s">
        <v>171</v>
      </c>
      <c r="E38" s="62"/>
      <c r="G38" s="63">
        <v>17.795</v>
      </c>
      <c r="L38" s="64"/>
    </row>
    <row r="39" spans="1:12" ht="15" customHeight="1">
      <c r="A39" s="60"/>
      <c r="D39" s="61" t="s">
        <v>172</v>
      </c>
      <c r="E39" s="62"/>
      <c r="G39" s="63">
        <v>18.900000000000002</v>
      </c>
      <c r="L39" s="64"/>
    </row>
    <row r="40" spans="1:75" ht="13.5" customHeight="1">
      <c r="A40" s="30" t="s">
        <v>173</v>
      </c>
      <c r="B40" s="3" t="s">
        <v>85</v>
      </c>
      <c r="C40" s="3" t="s">
        <v>174</v>
      </c>
      <c r="D40" s="78" t="s">
        <v>175</v>
      </c>
      <c r="E40" s="78"/>
      <c r="F40" s="3" t="s">
        <v>61</v>
      </c>
      <c r="G40" s="31">
        <f>'Stavební rozpočet'!G35</f>
        <v>500</v>
      </c>
      <c r="H40" s="170">
        <v>0</v>
      </c>
      <c r="I40" s="31">
        <f>G40*H40</f>
        <v>0</v>
      </c>
      <c r="J40" s="31">
        <f>'Stavební rozpočet'!J35</f>
        <v>0</v>
      </c>
      <c r="K40" s="31">
        <f>G40*J40</f>
        <v>0</v>
      </c>
      <c r="L40" s="59" t="s">
        <v>125</v>
      </c>
      <c r="Z40" s="31">
        <f>IF(AQ40="5",BJ40,0)</f>
        <v>0</v>
      </c>
      <c r="AB40" s="31">
        <f>IF(AQ40="1",BH40,0)</f>
        <v>0</v>
      </c>
      <c r="AC40" s="31">
        <f>IF(AQ40="1",BI40,0)</f>
        <v>0</v>
      </c>
      <c r="AD40" s="31">
        <f>IF(AQ40="7",BH40,0)</f>
        <v>0</v>
      </c>
      <c r="AE40" s="31">
        <f>IF(AQ40="7",BI40,0)</f>
        <v>0</v>
      </c>
      <c r="AF40" s="31">
        <f>IF(AQ40="2",BH40,0)</f>
        <v>0</v>
      </c>
      <c r="AG40" s="31">
        <f>IF(AQ40="2",BI40,0)</f>
        <v>0</v>
      </c>
      <c r="AH40" s="31">
        <f>IF(AQ40="0",BJ40,0)</f>
        <v>0</v>
      </c>
      <c r="AI40" s="42" t="s">
        <v>85</v>
      </c>
      <c r="AJ40" s="31">
        <f>IF(AN40=0,I40,0)</f>
        <v>0</v>
      </c>
      <c r="AK40" s="31">
        <f>IF(AN40=12,I40,0)</f>
        <v>0</v>
      </c>
      <c r="AL40" s="31">
        <f>IF(AN40=21,I40,0)</f>
        <v>0</v>
      </c>
      <c r="AN40" s="31">
        <v>21</v>
      </c>
      <c r="AO40" s="31">
        <f>H40*0</f>
        <v>0</v>
      </c>
      <c r="AP40" s="31">
        <f>H40*(1-0)</f>
        <v>0</v>
      </c>
      <c r="AQ40" s="32" t="s">
        <v>146</v>
      </c>
      <c r="AV40" s="31">
        <f>AW40+AX40</f>
        <v>0</v>
      </c>
      <c r="AW40" s="31">
        <f>G40*AO40</f>
        <v>0</v>
      </c>
      <c r="AX40" s="31">
        <f>G40*AP40</f>
        <v>0</v>
      </c>
      <c r="AY40" s="32" t="s">
        <v>163</v>
      </c>
      <c r="AZ40" s="32" t="s">
        <v>164</v>
      </c>
      <c r="BA40" s="42" t="s">
        <v>128</v>
      </c>
      <c r="BC40" s="31">
        <f>AW40+AX40</f>
        <v>0</v>
      </c>
      <c r="BD40" s="31">
        <f>H40/(100-BE40)*100</f>
        <v>0</v>
      </c>
      <c r="BE40" s="31">
        <v>0</v>
      </c>
      <c r="BF40" s="31">
        <f>K40</f>
        <v>0</v>
      </c>
      <c r="BH40" s="31">
        <f>G40*AO40</f>
        <v>0</v>
      </c>
      <c r="BI40" s="31">
        <f>G40*AP40</f>
        <v>0</v>
      </c>
      <c r="BJ40" s="31">
        <f>G40*H40</f>
        <v>0</v>
      </c>
      <c r="BK40" s="31"/>
      <c r="BL40" s="31">
        <v>712</v>
      </c>
      <c r="BW40" s="31">
        <v>21</v>
      </c>
    </row>
    <row r="41" spans="1:12" ht="15" customHeight="1">
      <c r="A41" s="60"/>
      <c r="D41" s="61" t="s">
        <v>176</v>
      </c>
      <c r="E41" s="62"/>
      <c r="G41" s="63">
        <v>500.00000000000006</v>
      </c>
      <c r="L41" s="64"/>
    </row>
    <row r="42" spans="1:47" ht="15" customHeight="1">
      <c r="A42" s="55"/>
      <c r="B42" s="56" t="s">
        <v>85</v>
      </c>
      <c r="C42" s="56" t="s">
        <v>177</v>
      </c>
      <c r="D42" s="122" t="s">
        <v>178</v>
      </c>
      <c r="E42" s="122"/>
      <c r="F42" s="57" t="s">
        <v>79</v>
      </c>
      <c r="G42" s="57" t="s">
        <v>79</v>
      </c>
      <c r="H42" s="57" t="s">
        <v>79</v>
      </c>
      <c r="I42" s="36">
        <f>SUM(I43:I55)</f>
        <v>0</v>
      </c>
      <c r="J42" s="42"/>
      <c r="K42" s="36">
        <f>SUM(K43:K55)</f>
        <v>3.3680158000000002</v>
      </c>
      <c r="L42" s="58"/>
      <c r="AI42" s="42" t="s">
        <v>85</v>
      </c>
      <c r="AS42" s="36">
        <f>SUM(AJ43:AJ55)</f>
        <v>0</v>
      </c>
      <c r="AT42" s="36">
        <f>SUM(AK43:AK55)</f>
        <v>0</v>
      </c>
      <c r="AU42" s="36">
        <f>SUM(AL43:AL55)</f>
        <v>0</v>
      </c>
    </row>
    <row r="43" spans="1:75" ht="27" customHeight="1">
      <c r="A43" s="30" t="s">
        <v>179</v>
      </c>
      <c r="B43" s="3" t="s">
        <v>85</v>
      </c>
      <c r="C43" s="3" t="s">
        <v>180</v>
      </c>
      <c r="D43" s="78" t="s">
        <v>181</v>
      </c>
      <c r="E43" s="78"/>
      <c r="F43" s="3" t="s">
        <v>124</v>
      </c>
      <c r="G43" s="31">
        <f>'Stavební rozpočet'!G38</f>
        <v>101.9524</v>
      </c>
      <c r="H43" s="170">
        <v>0</v>
      </c>
      <c r="I43" s="31">
        <f>G43*H43</f>
        <v>0</v>
      </c>
      <c r="J43" s="31">
        <f>'Stavební rozpočet'!J38</f>
        <v>0.004</v>
      </c>
      <c r="K43" s="31">
        <f>G43*J43</f>
        <v>0.4078096</v>
      </c>
      <c r="L43" s="59" t="s">
        <v>125</v>
      </c>
      <c r="Z43" s="31">
        <f>IF(AQ43="5",BJ43,0)</f>
        <v>0</v>
      </c>
      <c r="AB43" s="31">
        <f>IF(AQ43="1",BH43,0)</f>
        <v>0</v>
      </c>
      <c r="AC43" s="31">
        <f>IF(AQ43="1",BI43,0)</f>
        <v>0</v>
      </c>
      <c r="AD43" s="31">
        <f>IF(AQ43="7",BH43,0)</f>
        <v>0</v>
      </c>
      <c r="AE43" s="31">
        <f>IF(AQ43="7",BI43,0)</f>
        <v>0</v>
      </c>
      <c r="AF43" s="31">
        <f>IF(AQ43="2",BH43,0)</f>
        <v>0</v>
      </c>
      <c r="AG43" s="31">
        <f>IF(AQ43="2",BI43,0)</f>
        <v>0</v>
      </c>
      <c r="AH43" s="31">
        <f>IF(AQ43="0",BJ43,0)</f>
        <v>0</v>
      </c>
      <c r="AI43" s="42" t="s">
        <v>85</v>
      </c>
      <c r="AJ43" s="31">
        <f>IF(AN43=0,I43,0)</f>
        <v>0</v>
      </c>
      <c r="AK43" s="31">
        <f>IF(AN43=12,I43,0)</f>
        <v>0</v>
      </c>
      <c r="AL43" s="31">
        <f>IF(AN43=21,I43,0)</f>
        <v>0</v>
      </c>
      <c r="AN43" s="31">
        <v>21</v>
      </c>
      <c r="AO43" s="31">
        <f>H43*0</f>
        <v>0</v>
      </c>
      <c r="AP43" s="31">
        <f>H43*(1-0)</f>
        <v>0</v>
      </c>
      <c r="AQ43" s="32" t="s">
        <v>154</v>
      </c>
      <c r="AV43" s="31">
        <f>AW43+AX43</f>
        <v>0</v>
      </c>
      <c r="AW43" s="31">
        <f>G43*AO43</f>
        <v>0</v>
      </c>
      <c r="AX43" s="31">
        <f>G43*AP43</f>
        <v>0</v>
      </c>
      <c r="AY43" s="32" t="s">
        <v>182</v>
      </c>
      <c r="AZ43" s="32" t="s">
        <v>164</v>
      </c>
      <c r="BA43" s="42" t="s">
        <v>128</v>
      </c>
      <c r="BC43" s="31">
        <f>AW43+AX43</f>
        <v>0</v>
      </c>
      <c r="BD43" s="31">
        <f>H43/(100-BE43)*100</f>
        <v>0</v>
      </c>
      <c r="BE43" s="31">
        <v>0</v>
      </c>
      <c r="BF43" s="31">
        <f>K43</f>
        <v>0.4078096</v>
      </c>
      <c r="BH43" s="31">
        <f>G43*AO43</f>
        <v>0</v>
      </c>
      <c r="BI43" s="31">
        <f>G43*AP43</f>
        <v>0</v>
      </c>
      <c r="BJ43" s="31">
        <f>G43*H43</f>
        <v>0</v>
      </c>
      <c r="BK43" s="31"/>
      <c r="BL43" s="31">
        <v>713</v>
      </c>
      <c r="BW43" s="31">
        <v>21</v>
      </c>
    </row>
    <row r="44" spans="1:12" ht="15" customHeight="1">
      <c r="A44" s="60"/>
      <c r="D44" s="61" t="s">
        <v>183</v>
      </c>
      <c r="E44" s="62"/>
      <c r="G44" s="63">
        <v>101.95240000000001</v>
      </c>
      <c r="L44" s="64"/>
    </row>
    <row r="45" spans="1:75" ht="13.5" customHeight="1">
      <c r="A45" s="30" t="s">
        <v>184</v>
      </c>
      <c r="B45" s="3" t="s">
        <v>85</v>
      </c>
      <c r="C45" s="3" t="s">
        <v>185</v>
      </c>
      <c r="D45" s="78" t="s">
        <v>186</v>
      </c>
      <c r="E45" s="78"/>
      <c r="F45" s="3" t="s">
        <v>124</v>
      </c>
      <c r="G45" s="31">
        <f>'Stavební rozpočet'!G40</f>
        <v>301.14</v>
      </c>
      <c r="H45" s="170">
        <v>0</v>
      </c>
      <c r="I45" s="31">
        <f>G45*H45</f>
        <v>0</v>
      </c>
      <c r="J45" s="31">
        <f>'Stavební rozpočet'!J40</f>
        <v>0</v>
      </c>
      <c r="K45" s="31">
        <f>G45*J45</f>
        <v>0</v>
      </c>
      <c r="L45" s="59" t="s">
        <v>125</v>
      </c>
      <c r="Z45" s="31">
        <f>IF(AQ45="5",BJ45,0)</f>
        <v>0</v>
      </c>
      <c r="AB45" s="31">
        <f>IF(AQ45="1",BH45,0)</f>
        <v>0</v>
      </c>
      <c r="AC45" s="31">
        <f>IF(AQ45="1",BI45,0)</f>
        <v>0</v>
      </c>
      <c r="AD45" s="31">
        <f>IF(AQ45="7",BH45,0)</f>
        <v>0</v>
      </c>
      <c r="AE45" s="31">
        <f>IF(AQ45="7",BI45,0)</f>
        <v>0</v>
      </c>
      <c r="AF45" s="31">
        <f>IF(AQ45="2",BH45,0)</f>
        <v>0</v>
      </c>
      <c r="AG45" s="31">
        <f>IF(AQ45="2",BI45,0)</f>
        <v>0</v>
      </c>
      <c r="AH45" s="31">
        <f>IF(AQ45="0",BJ45,0)</f>
        <v>0</v>
      </c>
      <c r="AI45" s="42" t="s">
        <v>85</v>
      </c>
      <c r="AJ45" s="31">
        <f>IF(AN45=0,I45,0)</f>
        <v>0</v>
      </c>
      <c r="AK45" s="31">
        <f>IF(AN45=12,I45,0)</f>
        <v>0</v>
      </c>
      <c r="AL45" s="31">
        <f>IF(AN45=21,I45,0)</f>
        <v>0</v>
      </c>
      <c r="AN45" s="31">
        <v>21</v>
      </c>
      <c r="AO45" s="31">
        <f>H45*0</f>
        <v>0</v>
      </c>
      <c r="AP45" s="31">
        <f>H45*(1-0)</f>
        <v>0</v>
      </c>
      <c r="AQ45" s="32" t="s">
        <v>154</v>
      </c>
      <c r="AV45" s="31">
        <f>AW45+AX45</f>
        <v>0</v>
      </c>
      <c r="AW45" s="31">
        <f>G45*AO45</f>
        <v>0</v>
      </c>
      <c r="AX45" s="31">
        <f>G45*AP45</f>
        <v>0</v>
      </c>
      <c r="AY45" s="32" t="s">
        <v>182</v>
      </c>
      <c r="AZ45" s="32" t="s">
        <v>164</v>
      </c>
      <c r="BA45" s="42" t="s">
        <v>128</v>
      </c>
      <c r="BC45" s="31">
        <f>AW45+AX45</f>
        <v>0</v>
      </c>
      <c r="BD45" s="31">
        <f>H45/(100-BE45)*100</f>
        <v>0</v>
      </c>
      <c r="BE45" s="31">
        <v>0</v>
      </c>
      <c r="BF45" s="31">
        <f>K45</f>
        <v>0</v>
      </c>
      <c r="BH45" s="31">
        <f>G45*AO45</f>
        <v>0</v>
      </c>
      <c r="BI45" s="31">
        <f>G45*AP45</f>
        <v>0</v>
      </c>
      <c r="BJ45" s="31">
        <f>G45*H45</f>
        <v>0</v>
      </c>
      <c r="BK45" s="31"/>
      <c r="BL45" s="31">
        <v>713</v>
      </c>
      <c r="BW45" s="31">
        <v>21</v>
      </c>
    </row>
    <row r="46" spans="1:12" ht="13.5" customHeight="1">
      <c r="A46" s="60"/>
      <c r="D46" s="123" t="s">
        <v>187</v>
      </c>
      <c r="E46" s="123"/>
      <c r="F46" s="123"/>
      <c r="G46" s="123"/>
      <c r="H46" s="123"/>
      <c r="I46" s="123"/>
      <c r="J46" s="123"/>
      <c r="K46" s="123"/>
      <c r="L46" s="123"/>
    </row>
    <row r="47" spans="1:12" ht="15" customHeight="1">
      <c r="A47" s="60"/>
      <c r="D47" s="61" t="s">
        <v>188</v>
      </c>
      <c r="E47" s="62"/>
      <c r="G47" s="63">
        <v>173.28</v>
      </c>
      <c r="L47" s="64"/>
    </row>
    <row r="48" spans="1:12" ht="15" customHeight="1">
      <c r="A48" s="60"/>
      <c r="D48" s="61" t="s">
        <v>189</v>
      </c>
      <c r="E48" s="62"/>
      <c r="G48" s="63">
        <v>127.86000000000001</v>
      </c>
      <c r="L48" s="64"/>
    </row>
    <row r="49" spans="1:75" ht="13.5" customHeight="1">
      <c r="A49" s="30" t="s">
        <v>190</v>
      </c>
      <c r="B49" s="3" t="s">
        <v>85</v>
      </c>
      <c r="C49" s="3" t="s">
        <v>191</v>
      </c>
      <c r="D49" s="78" t="s">
        <v>192</v>
      </c>
      <c r="E49" s="78"/>
      <c r="F49" s="3" t="s">
        <v>124</v>
      </c>
      <c r="G49" s="31">
        <f>'Stavební rozpočet'!G43</f>
        <v>662.508</v>
      </c>
      <c r="H49" s="170">
        <v>0</v>
      </c>
      <c r="I49" s="31">
        <f>G49*H49</f>
        <v>0</v>
      </c>
      <c r="J49" s="31">
        <f>'Stavební rozpočet'!J43</f>
        <v>0.0028</v>
      </c>
      <c r="K49" s="31">
        <f>G49*J49</f>
        <v>1.8550224000000002</v>
      </c>
      <c r="L49" s="59" t="s">
        <v>125</v>
      </c>
      <c r="Z49" s="31">
        <f>IF(AQ49="5",BJ49,0)</f>
        <v>0</v>
      </c>
      <c r="AB49" s="31">
        <f>IF(AQ49="1",BH49,0)</f>
        <v>0</v>
      </c>
      <c r="AC49" s="31">
        <f>IF(AQ49="1",BI49,0)</f>
        <v>0</v>
      </c>
      <c r="AD49" s="31">
        <f>IF(AQ49="7",BH49,0)</f>
        <v>0</v>
      </c>
      <c r="AE49" s="31">
        <f>IF(AQ49="7",BI49,0)</f>
        <v>0</v>
      </c>
      <c r="AF49" s="31">
        <f>IF(AQ49="2",BH49,0)</f>
        <v>0</v>
      </c>
      <c r="AG49" s="31">
        <f>IF(AQ49="2",BI49,0)</f>
        <v>0</v>
      </c>
      <c r="AH49" s="31">
        <f>IF(AQ49="0",BJ49,0)</f>
        <v>0</v>
      </c>
      <c r="AI49" s="42" t="s">
        <v>85</v>
      </c>
      <c r="AJ49" s="31">
        <f>IF(AN49=0,I49,0)</f>
        <v>0</v>
      </c>
      <c r="AK49" s="31">
        <f>IF(AN49=12,I49,0)</f>
        <v>0</v>
      </c>
      <c r="AL49" s="31">
        <f>IF(AN49=21,I49,0)</f>
        <v>0</v>
      </c>
      <c r="AN49" s="31">
        <v>21</v>
      </c>
      <c r="AO49" s="31">
        <f>H49*1</f>
        <v>0</v>
      </c>
      <c r="AP49" s="31">
        <f>H49*(1-1)</f>
        <v>0</v>
      </c>
      <c r="AQ49" s="32" t="s">
        <v>154</v>
      </c>
      <c r="AV49" s="31">
        <f>AW49+AX49</f>
        <v>0</v>
      </c>
      <c r="AW49" s="31">
        <f>G49*AO49</f>
        <v>0</v>
      </c>
      <c r="AX49" s="31">
        <f>G49*AP49</f>
        <v>0</v>
      </c>
      <c r="AY49" s="32" t="s">
        <v>182</v>
      </c>
      <c r="AZ49" s="32" t="s">
        <v>164</v>
      </c>
      <c r="BA49" s="42" t="s">
        <v>128</v>
      </c>
      <c r="BC49" s="31">
        <f>AW49+AX49</f>
        <v>0</v>
      </c>
      <c r="BD49" s="31">
        <f>H49/(100-BE49)*100</f>
        <v>0</v>
      </c>
      <c r="BE49" s="31">
        <v>0</v>
      </c>
      <c r="BF49" s="31">
        <f>K49</f>
        <v>1.8550224000000002</v>
      </c>
      <c r="BH49" s="31">
        <f>G49*AO49</f>
        <v>0</v>
      </c>
      <c r="BI49" s="31">
        <f>G49*AP49</f>
        <v>0</v>
      </c>
      <c r="BJ49" s="31">
        <f>G49*H49</f>
        <v>0</v>
      </c>
      <c r="BK49" s="31"/>
      <c r="BL49" s="31">
        <v>713</v>
      </c>
      <c r="BW49" s="31">
        <v>21</v>
      </c>
    </row>
    <row r="50" spans="1:12" ht="15" customHeight="1">
      <c r="A50" s="60"/>
      <c r="D50" s="61" t="s">
        <v>193</v>
      </c>
      <c r="E50" s="62"/>
      <c r="G50" s="63">
        <v>602.2800000000001</v>
      </c>
      <c r="L50" s="64"/>
    </row>
    <row r="51" spans="1:12" ht="15" customHeight="1">
      <c r="A51" s="60"/>
      <c r="D51" s="61" t="s">
        <v>194</v>
      </c>
      <c r="E51" s="62"/>
      <c r="G51" s="63">
        <v>60.228</v>
      </c>
      <c r="L51" s="64"/>
    </row>
    <row r="52" spans="1:75" ht="13.5" customHeight="1">
      <c r="A52" s="30" t="s">
        <v>195</v>
      </c>
      <c r="B52" s="3" t="s">
        <v>85</v>
      </c>
      <c r="C52" s="3" t="s">
        <v>196</v>
      </c>
      <c r="D52" s="78" t="s">
        <v>197</v>
      </c>
      <c r="E52" s="78"/>
      <c r="F52" s="3" t="s">
        <v>124</v>
      </c>
      <c r="G52" s="31">
        <f>'Stavební rozpočet'!G46</f>
        <v>301.14</v>
      </c>
      <c r="H52" s="170">
        <v>0</v>
      </c>
      <c r="I52" s="31">
        <f>G52*H52</f>
        <v>0</v>
      </c>
      <c r="J52" s="31">
        <f>'Stavební rozpočet'!J46</f>
        <v>0.00367</v>
      </c>
      <c r="K52" s="31">
        <f>G52*J52</f>
        <v>1.1051838</v>
      </c>
      <c r="L52" s="59" t="s">
        <v>125</v>
      </c>
      <c r="Z52" s="31">
        <f>IF(AQ52="5",BJ52,0)</f>
        <v>0</v>
      </c>
      <c r="AB52" s="31">
        <f>IF(AQ52="1",BH52,0)</f>
        <v>0</v>
      </c>
      <c r="AC52" s="31">
        <f>IF(AQ52="1",BI52,0)</f>
        <v>0</v>
      </c>
      <c r="AD52" s="31">
        <f>IF(AQ52="7",BH52,0)</f>
        <v>0</v>
      </c>
      <c r="AE52" s="31">
        <f>IF(AQ52="7",BI52,0)</f>
        <v>0</v>
      </c>
      <c r="AF52" s="31">
        <f>IF(AQ52="2",BH52,0)</f>
        <v>0</v>
      </c>
      <c r="AG52" s="31">
        <f>IF(AQ52="2",BI52,0)</f>
        <v>0</v>
      </c>
      <c r="AH52" s="31">
        <f>IF(AQ52="0",BJ52,0)</f>
        <v>0</v>
      </c>
      <c r="AI52" s="42" t="s">
        <v>85</v>
      </c>
      <c r="AJ52" s="31">
        <f>IF(AN52=0,I52,0)</f>
        <v>0</v>
      </c>
      <c r="AK52" s="31">
        <f>IF(AN52=12,I52,0)</f>
        <v>0</v>
      </c>
      <c r="AL52" s="31">
        <f>IF(AN52=21,I52,0)</f>
        <v>0</v>
      </c>
      <c r="AN52" s="31">
        <v>21</v>
      </c>
      <c r="AO52" s="31">
        <f>H52*0.788466142015021</f>
        <v>0</v>
      </c>
      <c r="AP52" s="31">
        <f>H52*(1-0.788466142015021)</f>
        <v>0</v>
      </c>
      <c r="AQ52" s="32" t="s">
        <v>154</v>
      </c>
      <c r="AV52" s="31">
        <f>AW52+AX52</f>
        <v>0</v>
      </c>
      <c r="AW52" s="31">
        <f>G52*AO52</f>
        <v>0</v>
      </c>
      <c r="AX52" s="31">
        <f>G52*AP52</f>
        <v>0</v>
      </c>
      <c r="AY52" s="32" t="s">
        <v>182</v>
      </c>
      <c r="AZ52" s="32" t="s">
        <v>164</v>
      </c>
      <c r="BA52" s="42" t="s">
        <v>128</v>
      </c>
      <c r="BC52" s="31">
        <f>AW52+AX52</f>
        <v>0</v>
      </c>
      <c r="BD52" s="31">
        <f>H52/(100-BE52)*100</f>
        <v>0</v>
      </c>
      <c r="BE52" s="31">
        <v>0</v>
      </c>
      <c r="BF52" s="31">
        <f>K52</f>
        <v>1.1051838</v>
      </c>
      <c r="BH52" s="31">
        <f>G52*AO52</f>
        <v>0</v>
      </c>
      <c r="BI52" s="31">
        <f>G52*AP52</f>
        <v>0</v>
      </c>
      <c r="BJ52" s="31">
        <f>G52*H52</f>
        <v>0</v>
      </c>
      <c r="BK52" s="31"/>
      <c r="BL52" s="31">
        <v>713</v>
      </c>
      <c r="BW52" s="31">
        <v>21</v>
      </c>
    </row>
    <row r="53" spans="1:12" ht="27" customHeight="1">
      <c r="A53" s="60"/>
      <c r="D53" s="123" t="s">
        <v>198</v>
      </c>
      <c r="E53" s="123"/>
      <c r="F53" s="123"/>
      <c r="G53" s="123"/>
      <c r="H53" s="123"/>
      <c r="I53" s="123"/>
      <c r="J53" s="123"/>
      <c r="K53" s="123"/>
      <c r="L53" s="123"/>
    </row>
    <row r="54" spans="1:12" ht="15" customHeight="1">
      <c r="A54" s="60"/>
      <c r="D54" s="61" t="s">
        <v>199</v>
      </c>
      <c r="E54" s="62"/>
      <c r="G54" s="63">
        <v>301.14000000000004</v>
      </c>
      <c r="L54" s="64"/>
    </row>
    <row r="55" spans="1:75" ht="13.5" customHeight="1">
      <c r="A55" s="30" t="s">
        <v>200</v>
      </c>
      <c r="B55" s="3" t="s">
        <v>85</v>
      </c>
      <c r="C55" s="3" t="s">
        <v>201</v>
      </c>
      <c r="D55" s="78" t="s">
        <v>202</v>
      </c>
      <c r="E55" s="78"/>
      <c r="F55" s="3" t="s">
        <v>61</v>
      </c>
      <c r="G55" s="31">
        <f>'Stavební rozpočet'!G48</f>
        <v>1000</v>
      </c>
      <c r="H55" s="170">
        <v>0</v>
      </c>
      <c r="I55" s="31">
        <f>G55*H55</f>
        <v>0</v>
      </c>
      <c r="J55" s="31">
        <f>'Stavební rozpočet'!J48</f>
        <v>0</v>
      </c>
      <c r="K55" s="31">
        <f>G55*J55</f>
        <v>0</v>
      </c>
      <c r="L55" s="59" t="s">
        <v>125</v>
      </c>
      <c r="Z55" s="31">
        <f>IF(AQ55="5",BJ55,0)</f>
        <v>0</v>
      </c>
      <c r="AB55" s="31">
        <f>IF(AQ55="1",BH55,0)</f>
        <v>0</v>
      </c>
      <c r="AC55" s="31">
        <f>IF(AQ55="1",BI55,0)</f>
        <v>0</v>
      </c>
      <c r="AD55" s="31">
        <f>IF(AQ55="7",BH55,0)</f>
        <v>0</v>
      </c>
      <c r="AE55" s="31">
        <f>IF(AQ55="7",BI55,0)</f>
        <v>0</v>
      </c>
      <c r="AF55" s="31">
        <f>IF(AQ55="2",BH55,0)</f>
        <v>0</v>
      </c>
      <c r="AG55" s="31">
        <f>IF(AQ55="2",BI55,0)</f>
        <v>0</v>
      </c>
      <c r="AH55" s="31">
        <f>IF(AQ55="0",BJ55,0)</f>
        <v>0</v>
      </c>
      <c r="AI55" s="42" t="s">
        <v>85</v>
      </c>
      <c r="AJ55" s="31">
        <f>IF(AN55=0,I55,0)</f>
        <v>0</v>
      </c>
      <c r="AK55" s="31">
        <f>IF(AN55=12,I55,0)</f>
        <v>0</v>
      </c>
      <c r="AL55" s="31">
        <f>IF(AN55=21,I55,0)</f>
        <v>0</v>
      </c>
      <c r="AN55" s="31">
        <v>21</v>
      </c>
      <c r="AO55" s="31">
        <f>H55*0</f>
        <v>0</v>
      </c>
      <c r="AP55" s="31">
        <f>H55*(1-0)</f>
        <v>0</v>
      </c>
      <c r="AQ55" s="32" t="s">
        <v>146</v>
      </c>
      <c r="AV55" s="31">
        <f>AW55+AX55</f>
        <v>0</v>
      </c>
      <c r="AW55" s="31">
        <f>G55*AO55</f>
        <v>0</v>
      </c>
      <c r="AX55" s="31">
        <f>G55*AP55</f>
        <v>0</v>
      </c>
      <c r="AY55" s="32" t="s">
        <v>182</v>
      </c>
      <c r="AZ55" s="32" t="s">
        <v>164</v>
      </c>
      <c r="BA55" s="42" t="s">
        <v>128</v>
      </c>
      <c r="BC55" s="31">
        <f>AW55+AX55</f>
        <v>0</v>
      </c>
      <c r="BD55" s="31">
        <f>H55/(100-BE55)*100</f>
        <v>0</v>
      </c>
      <c r="BE55" s="31">
        <v>0</v>
      </c>
      <c r="BF55" s="31">
        <f>K55</f>
        <v>0</v>
      </c>
      <c r="BH55" s="31">
        <f>G55*AO55</f>
        <v>0</v>
      </c>
      <c r="BI55" s="31">
        <f>G55*AP55</f>
        <v>0</v>
      </c>
      <c r="BJ55" s="31">
        <f>G55*H55</f>
        <v>0</v>
      </c>
      <c r="BK55" s="31"/>
      <c r="BL55" s="31">
        <v>713</v>
      </c>
      <c r="BW55" s="31">
        <v>21</v>
      </c>
    </row>
    <row r="56" spans="1:12" ht="15" customHeight="1">
      <c r="A56" s="60"/>
      <c r="D56" s="61" t="s">
        <v>203</v>
      </c>
      <c r="E56" s="62"/>
      <c r="G56" s="63">
        <v>1000.0000000000001</v>
      </c>
      <c r="L56" s="64"/>
    </row>
    <row r="57" spans="1:47" ht="15" customHeight="1">
      <c r="A57" s="55"/>
      <c r="B57" s="56" t="s">
        <v>85</v>
      </c>
      <c r="C57" s="56" t="s">
        <v>204</v>
      </c>
      <c r="D57" s="122" t="s">
        <v>205</v>
      </c>
      <c r="E57" s="122"/>
      <c r="F57" s="57" t="s">
        <v>79</v>
      </c>
      <c r="G57" s="57" t="s">
        <v>79</v>
      </c>
      <c r="H57" s="57" t="s">
        <v>79</v>
      </c>
      <c r="I57" s="36">
        <f>SUM(I58:I135)</f>
        <v>0</v>
      </c>
      <c r="J57" s="42"/>
      <c r="K57" s="36">
        <f>SUM(K58:K135)</f>
        <v>17.795377551500003</v>
      </c>
      <c r="L57" s="58"/>
      <c r="AI57" s="42" t="s">
        <v>85</v>
      </c>
      <c r="AS57" s="36">
        <f>SUM(AJ58:AJ135)</f>
        <v>0</v>
      </c>
      <c r="AT57" s="36">
        <f>SUM(AK58:AK135)</f>
        <v>0</v>
      </c>
      <c r="AU57" s="36">
        <f>SUM(AL58:AL135)</f>
        <v>0</v>
      </c>
    </row>
    <row r="58" spans="1:75" ht="13.5" customHeight="1">
      <c r="A58" s="30" t="s">
        <v>206</v>
      </c>
      <c r="B58" s="3" t="s">
        <v>85</v>
      </c>
      <c r="C58" s="3" t="s">
        <v>207</v>
      </c>
      <c r="D58" s="78" t="s">
        <v>208</v>
      </c>
      <c r="E58" s="78"/>
      <c r="F58" s="3" t="s">
        <v>209</v>
      </c>
      <c r="G58" s="31">
        <f>'Stavební rozpočet'!G51</f>
        <v>399.6431</v>
      </c>
      <c r="H58" s="170">
        <v>0</v>
      </c>
      <c r="I58" s="31">
        <f>G58*H58</f>
        <v>0</v>
      </c>
      <c r="J58" s="31">
        <f>'Stavební rozpočet'!J51</f>
        <v>0.01248</v>
      </c>
      <c r="K58" s="31">
        <f>G58*J58</f>
        <v>4.987545888</v>
      </c>
      <c r="L58" s="59" t="s">
        <v>125</v>
      </c>
      <c r="Z58" s="31">
        <f>IF(AQ58="5",BJ58,0)</f>
        <v>0</v>
      </c>
      <c r="AB58" s="31">
        <f>IF(AQ58="1",BH58,0)</f>
        <v>0</v>
      </c>
      <c r="AC58" s="31">
        <f>IF(AQ58="1",BI58,0)</f>
        <v>0</v>
      </c>
      <c r="AD58" s="31">
        <f>IF(AQ58="7",BH58,0)</f>
        <v>0</v>
      </c>
      <c r="AE58" s="31">
        <f>IF(AQ58="7",BI58,0)</f>
        <v>0</v>
      </c>
      <c r="AF58" s="31">
        <f>IF(AQ58="2",BH58,0)</f>
        <v>0</v>
      </c>
      <c r="AG58" s="31">
        <f>IF(AQ58="2",BI58,0)</f>
        <v>0</v>
      </c>
      <c r="AH58" s="31">
        <f>IF(AQ58="0",BJ58,0)</f>
        <v>0</v>
      </c>
      <c r="AI58" s="42" t="s">
        <v>85</v>
      </c>
      <c r="AJ58" s="31">
        <f>IF(AN58=0,I58,0)</f>
        <v>0</v>
      </c>
      <c r="AK58" s="31">
        <f>IF(AN58=12,I58,0)</f>
        <v>0</v>
      </c>
      <c r="AL58" s="31">
        <f>IF(AN58=21,I58,0)</f>
        <v>0</v>
      </c>
      <c r="AN58" s="31">
        <v>21</v>
      </c>
      <c r="AO58" s="31">
        <f>H58*0.0280838313675075</f>
        <v>0</v>
      </c>
      <c r="AP58" s="31">
        <f>H58*(1-0.0280838313675075)</f>
        <v>0</v>
      </c>
      <c r="AQ58" s="32" t="s">
        <v>154</v>
      </c>
      <c r="AV58" s="31">
        <f>AW58+AX58</f>
        <v>0</v>
      </c>
      <c r="AW58" s="31">
        <f>G58*AO58</f>
        <v>0</v>
      </c>
      <c r="AX58" s="31">
        <f>G58*AP58</f>
        <v>0</v>
      </c>
      <c r="AY58" s="32" t="s">
        <v>210</v>
      </c>
      <c r="AZ58" s="32" t="s">
        <v>211</v>
      </c>
      <c r="BA58" s="42" t="s">
        <v>128</v>
      </c>
      <c r="BC58" s="31">
        <f>AW58+AX58</f>
        <v>0</v>
      </c>
      <c r="BD58" s="31">
        <f>H58/(100-BE58)*100</f>
        <v>0</v>
      </c>
      <c r="BE58" s="31">
        <v>0</v>
      </c>
      <c r="BF58" s="31">
        <f>K58</f>
        <v>4.987545888</v>
      </c>
      <c r="BH58" s="31">
        <f>G58*AO58</f>
        <v>0</v>
      </c>
      <c r="BI58" s="31">
        <f>G58*AP58</f>
        <v>0</v>
      </c>
      <c r="BJ58" s="31">
        <f>G58*H58</f>
        <v>0</v>
      </c>
      <c r="BK58" s="31"/>
      <c r="BL58" s="31">
        <v>762</v>
      </c>
      <c r="BW58" s="31">
        <v>21</v>
      </c>
    </row>
    <row r="59" spans="1:12" ht="15" customHeight="1">
      <c r="A59" s="60"/>
      <c r="D59" s="61" t="s">
        <v>212</v>
      </c>
      <c r="E59" s="62"/>
      <c r="G59" s="63">
        <v>19.3611</v>
      </c>
      <c r="L59" s="64"/>
    </row>
    <row r="60" spans="1:12" ht="15" customHeight="1">
      <c r="A60" s="60"/>
      <c r="D60" s="61" t="s">
        <v>213</v>
      </c>
      <c r="E60" s="62"/>
      <c r="G60" s="63">
        <v>39.664</v>
      </c>
      <c r="L60" s="64"/>
    </row>
    <row r="61" spans="1:12" ht="15" customHeight="1">
      <c r="A61" s="60"/>
      <c r="D61" s="61" t="s">
        <v>214</v>
      </c>
      <c r="E61" s="62"/>
      <c r="G61" s="63">
        <v>71.76</v>
      </c>
      <c r="L61" s="64"/>
    </row>
    <row r="62" spans="1:12" ht="15" customHeight="1">
      <c r="A62" s="60"/>
      <c r="D62" s="61" t="s">
        <v>215</v>
      </c>
      <c r="E62" s="62"/>
      <c r="G62" s="63">
        <v>61.696000000000005</v>
      </c>
      <c r="L62" s="64"/>
    </row>
    <row r="63" spans="1:12" ht="15" customHeight="1">
      <c r="A63" s="60"/>
      <c r="D63" s="61" t="s">
        <v>216</v>
      </c>
      <c r="E63" s="62"/>
      <c r="G63" s="63">
        <v>71.78800000000001</v>
      </c>
      <c r="L63" s="64"/>
    </row>
    <row r="64" spans="1:12" ht="15" customHeight="1">
      <c r="A64" s="60"/>
      <c r="D64" s="61" t="s">
        <v>217</v>
      </c>
      <c r="E64" s="62"/>
      <c r="G64" s="63">
        <v>70.95400000000001</v>
      </c>
      <c r="L64" s="64"/>
    </row>
    <row r="65" spans="1:12" ht="15" customHeight="1">
      <c r="A65" s="60"/>
      <c r="D65" s="61" t="s">
        <v>218</v>
      </c>
      <c r="E65" s="62"/>
      <c r="G65" s="63">
        <v>17.900000000000002</v>
      </c>
      <c r="L65" s="64"/>
    </row>
    <row r="66" spans="1:12" ht="15" customHeight="1">
      <c r="A66" s="60"/>
      <c r="D66" s="61" t="s">
        <v>219</v>
      </c>
      <c r="E66" s="62"/>
      <c r="G66" s="63">
        <v>46.52</v>
      </c>
      <c r="L66" s="64"/>
    </row>
    <row r="67" spans="1:75" ht="13.5" customHeight="1">
      <c r="A67" s="30" t="s">
        <v>220</v>
      </c>
      <c r="B67" s="3" t="s">
        <v>85</v>
      </c>
      <c r="C67" s="3" t="s">
        <v>221</v>
      </c>
      <c r="D67" s="78" t="s">
        <v>222</v>
      </c>
      <c r="E67" s="78"/>
      <c r="F67" s="3" t="s">
        <v>209</v>
      </c>
      <c r="G67" s="31">
        <f>'Stavební rozpočet'!G60</f>
        <v>23.887</v>
      </c>
      <c r="H67" s="170">
        <v>0</v>
      </c>
      <c r="I67" s="31">
        <f>G67*H67</f>
        <v>0</v>
      </c>
      <c r="J67" s="31">
        <f>'Stavební rozpočet'!J60</f>
        <v>0.016</v>
      </c>
      <c r="K67" s="31">
        <f>G67*J67</f>
        <v>0.38219200000000003</v>
      </c>
      <c r="L67" s="59" t="s">
        <v>125</v>
      </c>
      <c r="Z67" s="31">
        <f>IF(AQ67="5",BJ67,0)</f>
        <v>0</v>
      </c>
      <c r="AB67" s="31">
        <f>IF(AQ67="1",BH67,0)</f>
        <v>0</v>
      </c>
      <c r="AC67" s="31">
        <f>IF(AQ67="1",BI67,0)</f>
        <v>0</v>
      </c>
      <c r="AD67" s="31">
        <f>IF(AQ67="7",BH67,0)</f>
        <v>0</v>
      </c>
      <c r="AE67" s="31">
        <f>IF(AQ67="7",BI67,0)</f>
        <v>0</v>
      </c>
      <c r="AF67" s="31">
        <f>IF(AQ67="2",BH67,0)</f>
        <v>0</v>
      </c>
      <c r="AG67" s="31">
        <f>IF(AQ67="2",BI67,0)</f>
        <v>0</v>
      </c>
      <c r="AH67" s="31">
        <f>IF(AQ67="0",BJ67,0)</f>
        <v>0</v>
      </c>
      <c r="AI67" s="42" t="s">
        <v>85</v>
      </c>
      <c r="AJ67" s="31">
        <f>IF(AN67=0,I67,0)</f>
        <v>0</v>
      </c>
      <c r="AK67" s="31">
        <f>IF(AN67=12,I67,0)</f>
        <v>0</v>
      </c>
      <c r="AL67" s="31">
        <f>IF(AN67=21,I67,0)</f>
        <v>0</v>
      </c>
      <c r="AN67" s="31">
        <v>21</v>
      </c>
      <c r="AO67" s="31">
        <f>H67*0.0211736968436968</f>
        <v>0</v>
      </c>
      <c r="AP67" s="31">
        <f>H67*(1-0.0211736968436968)</f>
        <v>0</v>
      </c>
      <c r="AQ67" s="32" t="s">
        <v>154</v>
      </c>
      <c r="AV67" s="31">
        <f>AW67+AX67</f>
        <v>0</v>
      </c>
      <c r="AW67" s="31">
        <f>G67*AO67</f>
        <v>0</v>
      </c>
      <c r="AX67" s="31">
        <f>G67*AP67</f>
        <v>0</v>
      </c>
      <c r="AY67" s="32" t="s">
        <v>210</v>
      </c>
      <c r="AZ67" s="32" t="s">
        <v>211</v>
      </c>
      <c r="BA67" s="42" t="s">
        <v>128</v>
      </c>
      <c r="BC67" s="31">
        <f>AW67+AX67</f>
        <v>0</v>
      </c>
      <c r="BD67" s="31">
        <f>H67/(100-BE67)*100</f>
        <v>0</v>
      </c>
      <c r="BE67" s="31">
        <v>0</v>
      </c>
      <c r="BF67" s="31">
        <f>K67</f>
        <v>0.38219200000000003</v>
      </c>
      <c r="BH67" s="31">
        <f>G67*AO67</f>
        <v>0</v>
      </c>
      <c r="BI67" s="31">
        <f>G67*AP67</f>
        <v>0</v>
      </c>
      <c r="BJ67" s="31">
        <f>G67*H67</f>
        <v>0</v>
      </c>
      <c r="BK67" s="31"/>
      <c r="BL67" s="31">
        <v>762</v>
      </c>
      <c r="BW67" s="31">
        <v>21</v>
      </c>
    </row>
    <row r="68" spans="1:12" ht="15" customHeight="1">
      <c r="A68" s="60"/>
      <c r="D68" s="61" t="s">
        <v>223</v>
      </c>
      <c r="E68" s="62"/>
      <c r="G68" s="63">
        <v>17.214000000000002</v>
      </c>
      <c r="L68" s="64"/>
    </row>
    <row r="69" spans="1:12" ht="15" customHeight="1">
      <c r="A69" s="60"/>
      <c r="D69" s="61" t="s">
        <v>224</v>
      </c>
      <c r="E69" s="62"/>
      <c r="G69" s="63">
        <v>6.673000000000001</v>
      </c>
      <c r="L69" s="64"/>
    </row>
    <row r="70" spans="1:75" ht="13.5" customHeight="1">
      <c r="A70" s="30" t="s">
        <v>225</v>
      </c>
      <c r="B70" s="3" t="s">
        <v>85</v>
      </c>
      <c r="C70" s="3" t="s">
        <v>226</v>
      </c>
      <c r="D70" s="78" t="s">
        <v>227</v>
      </c>
      <c r="E70" s="78"/>
      <c r="F70" s="3" t="s">
        <v>209</v>
      </c>
      <c r="G70" s="31">
        <f>'Stavební rozpočet'!G63</f>
        <v>9.214</v>
      </c>
      <c r="H70" s="170">
        <v>0</v>
      </c>
      <c r="I70" s="31">
        <f>G70*H70</f>
        <v>0</v>
      </c>
      <c r="J70" s="31">
        <f>'Stavební rozpočet'!J63</f>
        <v>0.02491</v>
      </c>
      <c r="K70" s="31">
        <f>G70*J70</f>
        <v>0.22952074000000003</v>
      </c>
      <c r="L70" s="59" t="s">
        <v>125</v>
      </c>
      <c r="Z70" s="31">
        <f>IF(AQ70="5",BJ70,0)</f>
        <v>0</v>
      </c>
      <c r="AB70" s="31">
        <f>IF(AQ70="1",BH70,0)</f>
        <v>0</v>
      </c>
      <c r="AC70" s="31">
        <f>IF(AQ70="1",BI70,0)</f>
        <v>0</v>
      </c>
      <c r="AD70" s="31">
        <f>IF(AQ70="7",BH70,0)</f>
        <v>0</v>
      </c>
      <c r="AE70" s="31">
        <f>IF(AQ70="7",BI70,0)</f>
        <v>0</v>
      </c>
      <c r="AF70" s="31">
        <f>IF(AQ70="2",BH70,0)</f>
        <v>0</v>
      </c>
      <c r="AG70" s="31">
        <f>IF(AQ70="2",BI70,0)</f>
        <v>0</v>
      </c>
      <c r="AH70" s="31">
        <f>IF(AQ70="0",BJ70,0)</f>
        <v>0</v>
      </c>
      <c r="AI70" s="42" t="s">
        <v>85</v>
      </c>
      <c r="AJ70" s="31">
        <f>IF(AN70=0,I70,0)</f>
        <v>0</v>
      </c>
      <c r="AK70" s="31">
        <f>IF(AN70=12,I70,0)</f>
        <v>0</v>
      </c>
      <c r="AL70" s="31">
        <f>IF(AN70=21,I70,0)</f>
        <v>0</v>
      </c>
      <c r="AN70" s="31">
        <v>21</v>
      </c>
      <c r="AO70" s="31">
        <f>H70*0.0195007490974729</f>
        <v>0</v>
      </c>
      <c r="AP70" s="31">
        <f>H70*(1-0.0195007490974729)</f>
        <v>0</v>
      </c>
      <c r="AQ70" s="32" t="s">
        <v>154</v>
      </c>
      <c r="AV70" s="31">
        <f>AW70+AX70</f>
        <v>0</v>
      </c>
      <c r="AW70" s="31">
        <f>G70*AO70</f>
        <v>0</v>
      </c>
      <c r="AX70" s="31">
        <f>G70*AP70</f>
        <v>0</v>
      </c>
      <c r="AY70" s="32" t="s">
        <v>210</v>
      </c>
      <c r="AZ70" s="32" t="s">
        <v>211</v>
      </c>
      <c r="BA70" s="42" t="s">
        <v>128</v>
      </c>
      <c r="BC70" s="31">
        <f>AW70+AX70</f>
        <v>0</v>
      </c>
      <c r="BD70" s="31">
        <f>H70/(100-BE70)*100</f>
        <v>0</v>
      </c>
      <c r="BE70" s="31">
        <v>0</v>
      </c>
      <c r="BF70" s="31">
        <f>K70</f>
        <v>0.22952074000000003</v>
      </c>
      <c r="BH70" s="31">
        <f>G70*AO70</f>
        <v>0</v>
      </c>
      <c r="BI70" s="31">
        <f>G70*AP70</f>
        <v>0</v>
      </c>
      <c r="BJ70" s="31">
        <f>G70*H70</f>
        <v>0</v>
      </c>
      <c r="BK70" s="31"/>
      <c r="BL70" s="31">
        <v>762</v>
      </c>
      <c r="BW70" s="31">
        <v>21</v>
      </c>
    </row>
    <row r="71" spans="1:12" ht="15" customHeight="1">
      <c r="A71" s="60"/>
      <c r="D71" s="61" t="s">
        <v>228</v>
      </c>
      <c r="E71" s="62"/>
      <c r="G71" s="63">
        <v>9.214</v>
      </c>
      <c r="L71" s="64"/>
    </row>
    <row r="72" spans="1:75" ht="13.5" customHeight="1">
      <c r="A72" s="30" t="s">
        <v>229</v>
      </c>
      <c r="B72" s="3" t="s">
        <v>85</v>
      </c>
      <c r="C72" s="3" t="s">
        <v>230</v>
      </c>
      <c r="D72" s="78" t="s">
        <v>231</v>
      </c>
      <c r="E72" s="78"/>
      <c r="F72" s="3" t="s">
        <v>124</v>
      </c>
      <c r="G72" s="31">
        <f>'Stavební rozpočet'!G65</f>
        <v>51.616</v>
      </c>
      <c r="H72" s="170">
        <v>0</v>
      </c>
      <c r="I72" s="31">
        <f>G72*H72</f>
        <v>0</v>
      </c>
      <c r="J72" s="31">
        <f>'Stavební rozpočet'!J65</f>
        <v>0.015</v>
      </c>
      <c r="K72" s="31">
        <f>G72*J72</f>
        <v>0.7742399999999999</v>
      </c>
      <c r="L72" s="59" t="s">
        <v>125</v>
      </c>
      <c r="Z72" s="31">
        <f>IF(AQ72="5",BJ72,0)</f>
        <v>0</v>
      </c>
      <c r="AB72" s="31">
        <f>IF(AQ72="1",BH72,0)</f>
        <v>0</v>
      </c>
      <c r="AC72" s="31">
        <f>IF(AQ72="1",BI72,0)</f>
        <v>0</v>
      </c>
      <c r="AD72" s="31">
        <f>IF(AQ72="7",BH72,0)</f>
        <v>0</v>
      </c>
      <c r="AE72" s="31">
        <f>IF(AQ72="7",BI72,0)</f>
        <v>0</v>
      </c>
      <c r="AF72" s="31">
        <f>IF(AQ72="2",BH72,0)</f>
        <v>0</v>
      </c>
      <c r="AG72" s="31">
        <f>IF(AQ72="2",BI72,0)</f>
        <v>0</v>
      </c>
      <c r="AH72" s="31">
        <f>IF(AQ72="0",BJ72,0)</f>
        <v>0</v>
      </c>
      <c r="AI72" s="42" t="s">
        <v>85</v>
      </c>
      <c r="AJ72" s="31">
        <f>IF(AN72=0,I72,0)</f>
        <v>0</v>
      </c>
      <c r="AK72" s="31">
        <f>IF(AN72=12,I72,0)</f>
        <v>0</v>
      </c>
      <c r="AL72" s="31">
        <f>IF(AN72=21,I72,0)</f>
        <v>0</v>
      </c>
      <c r="AN72" s="31">
        <v>21</v>
      </c>
      <c r="AO72" s="31">
        <f>H72*0</f>
        <v>0</v>
      </c>
      <c r="AP72" s="31">
        <f>H72*(1-0)</f>
        <v>0</v>
      </c>
      <c r="AQ72" s="32" t="s">
        <v>154</v>
      </c>
      <c r="AV72" s="31">
        <f>AW72+AX72</f>
        <v>0</v>
      </c>
      <c r="AW72" s="31">
        <f>G72*AO72</f>
        <v>0</v>
      </c>
      <c r="AX72" s="31">
        <f>G72*AP72</f>
        <v>0</v>
      </c>
      <c r="AY72" s="32" t="s">
        <v>210</v>
      </c>
      <c r="AZ72" s="32" t="s">
        <v>211</v>
      </c>
      <c r="BA72" s="42" t="s">
        <v>128</v>
      </c>
      <c r="BC72" s="31">
        <f>AW72+AX72</f>
        <v>0</v>
      </c>
      <c r="BD72" s="31">
        <f>H72/(100-BE72)*100</f>
        <v>0</v>
      </c>
      <c r="BE72" s="31">
        <v>0</v>
      </c>
      <c r="BF72" s="31">
        <f>K72</f>
        <v>0.7742399999999999</v>
      </c>
      <c r="BH72" s="31">
        <f>G72*AO72</f>
        <v>0</v>
      </c>
      <c r="BI72" s="31">
        <f>G72*AP72</f>
        <v>0</v>
      </c>
      <c r="BJ72" s="31">
        <f>G72*H72</f>
        <v>0</v>
      </c>
      <c r="BK72" s="31"/>
      <c r="BL72" s="31">
        <v>762</v>
      </c>
      <c r="BW72" s="31">
        <v>21</v>
      </c>
    </row>
    <row r="73" spans="1:12" ht="15" customHeight="1">
      <c r="A73" s="60"/>
      <c r="D73" s="61" t="s">
        <v>232</v>
      </c>
      <c r="E73" s="62"/>
      <c r="G73" s="63">
        <v>17.200000000000003</v>
      </c>
      <c r="L73" s="64"/>
    </row>
    <row r="74" spans="1:12" ht="15" customHeight="1">
      <c r="A74" s="60"/>
      <c r="D74" s="61" t="s">
        <v>233</v>
      </c>
      <c r="E74" s="62"/>
      <c r="G74" s="63">
        <v>34.416000000000004</v>
      </c>
      <c r="L74" s="64"/>
    </row>
    <row r="75" spans="1:75" ht="13.5" customHeight="1">
      <c r="A75" s="30" t="s">
        <v>234</v>
      </c>
      <c r="B75" s="3" t="s">
        <v>85</v>
      </c>
      <c r="C75" s="3" t="s">
        <v>235</v>
      </c>
      <c r="D75" s="78" t="s">
        <v>236</v>
      </c>
      <c r="E75" s="78"/>
      <c r="F75" s="3" t="s">
        <v>124</v>
      </c>
      <c r="G75" s="31">
        <f>'Stavební rozpočet'!G68</f>
        <v>542.994</v>
      </c>
      <c r="H75" s="170">
        <v>0</v>
      </c>
      <c r="I75" s="31">
        <f>G75*H75</f>
        <v>0</v>
      </c>
      <c r="J75" s="31">
        <f>'Stavební rozpočet'!J68</f>
        <v>0.007</v>
      </c>
      <c r="K75" s="31">
        <f>G75*J75</f>
        <v>3.800958</v>
      </c>
      <c r="L75" s="59" t="s">
        <v>125</v>
      </c>
      <c r="Z75" s="31">
        <f>IF(AQ75="5",BJ75,0)</f>
        <v>0</v>
      </c>
      <c r="AB75" s="31">
        <f>IF(AQ75="1",BH75,0)</f>
        <v>0</v>
      </c>
      <c r="AC75" s="31">
        <f>IF(AQ75="1",BI75,0)</f>
        <v>0</v>
      </c>
      <c r="AD75" s="31">
        <f>IF(AQ75="7",BH75,0)</f>
        <v>0</v>
      </c>
      <c r="AE75" s="31">
        <f>IF(AQ75="7",BI75,0)</f>
        <v>0</v>
      </c>
      <c r="AF75" s="31">
        <f>IF(AQ75="2",BH75,0)</f>
        <v>0</v>
      </c>
      <c r="AG75" s="31">
        <f>IF(AQ75="2",BI75,0)</f>
        <v>0</v>
      </c>
      <c r="AH75" s="31">
        <f>IF(AQ75="0",BJ75,0)</f>
        <v>0</v>
      </c>
      <c r="AI75" s="42" t="s">
        <v>85</v>
      </c>
      <c r="AJ75" s="31">
        <f>IF(AN75=0,I75,0)</f>
        <v>0</v>
      </c>
      <c r="AK75" s="31">
        <f>IF(AN75=12,I75,0)</f>
        <v>0</v>
      </c>
      <c r="AL75" s="31">
        <f>IF(AN75=21,I75,0)</f>
        <v>0</v>
      </c>
      <c r="AN75" s="31">
        <v>21</v>
      </c>
      <c r="AO75" s="31">
        <f>H75*0</f>
        <v>0</v>
      </c>
      <c r="AP75" s="31">
        <f>H75*(1-0)</f>
        <v>0</v>
      </c>
      <c r="AQ75" s="32" t="s">
        <v>154</v>
      </c>
      <c r="AV75" s="31">
        <f>AW75+AX75</f>
        <v>0</v>
      </c>
      <c r="AW75" s="31">
        <f>G75*AO75</f>
        <v>0</v>
      </c>
      <c r="AX75" s="31">
        <f>G75*AP75</f>
        <v>0</v>
      </c>
      <c r="AY75" s="32" t="s">
        <v>210</v>
      </c>
      <c r="AZ75" s="32" t="s">
        <v>211</v>
      </c>
      <c r="BA75" s="42" t="s">
        <v>128</v>
      </c>
      <c r="BC75" s="31">
        <f>AW75+AX75</f>
        <v>0</v>
      </c>
      <c r="BD75" s="31">
        <f>H75/(100-BE75)*100</f>
        <v>0</v>
      </c>
      <c r="BE75" s="31">
        <v>0</v>
      </c>
      <c r="BF75" s="31">
        <f>K75</f>
        <v>3.800958</v>
      </c>
      <c r="BH75" s="31">
        <f>G75*AO75</f>
        <v>0</v>
      </c>
      <c r="BI75" s="31">
        <f>G75*AP75</f>
        <v>0</v>
      </c>
      <c r="BJ75" s="31">
        <f>G75*H75</f>
        <v>0</v>
      </c>
      <c r="BK75" s="31"/>
      <c r="BL75" s="31">
        <v>762</v>
      </c>
      <c r="BW75" s="31">
        <v>21</v>
      </c>
    </row>
    <row r="76" spans="1:12" ht="15" customHeight="1">
      <c r="A76" s="60"/>
      <c r="D76" s="61" t="s">
        <v>237</v>
      </c>
      <c r="E76" s="62"/>
      <c r="G76" s="63">
        <v>542.994</v>
      </c>
      <c r="L76" s="64"/>
    </row>
    <row r="77" spans="1:75" ht="13.5" customHeight="1">
      <c r="A77" s="30" t="s">
        <v>238</v>
      </c>
      <c r="B77" s="3" t="s">
        <v>85</v>
      </c>
      <c r="C77" s="3" t="s">
        <v>239</v>
      </c>
      <c r="D77" s="78" t="s">
        <v>240</v>
      </c>
      <c r="E77" s="78"/>
      <c r="F77" s="3" t="s">
        <v>241</v>
      </c>
      <c r="G77" s="31">
        <f>'Stavební rozpočet'!G70</f>
        <v>16.393</v>
      </c>
      <c r="H77" s="170">
        <v>0</v>
      </c>
      <c r="I77" s="31">
        <f>G77*H77</f>
        <v>0</v>
      </c>
      <c r="J77" s="31">
        <f>'Stavební rozpočet'!J70</f>
        <v>0.0165</v>
      </c>
      <c r="K77" s="31">
        <f>G77*J77</f>
        <v>0.2704845</v>
      </c>
      <c r="L77" s="59" t="s">
        <v>125</v>
      </c>
      <c r="Z77" s="31">
        <f>IF(AQ77="5",BJ77,0)</f>
        <v>0</v>
      </c>
      <c r="AB77" s="31">
        <f>IF(AQ77="1",BH77,0)</f>
        <v>0</v>
      </c>
      <c r="AC77" s="31">
        <f>IF(AQ77="1",BI77,0)</f>
        <v>0</v>
      </c>
      <c r="AD77" s="31">
        <f>IF(AQ77="7",BH77,0)</f>
        <v>0</v>
      </c>
      <c r="AE77" s="31">
        <f>IF(AQ77="7",BI77,0)</f>
        <v>0</v>
      </c>
      <c r="AF77" s="31">
        <f>IF(AQ77="2",BH77,0)</f>
        <v>0</v>
      </c>
      <c r="AG77" s="31">
        <f>IF(AQ77="2",BI77,0)</f>
        <v>0</v>
      </c>
      <c r="AH77" s="31">
        <f>IF(AQ77="0",BJ77,0)</f>
        <v>0</v>
      </c>
      <c r="AI77" s="42" t="s">
        <v>85</v>
      </c>
      <c r="AJ77" s="31">
        <f>IF(AN77=0,I77,0)</f>
        <v>0</v>
      </c>
      <c r="AK77" s="31">
        <f>IF(AN77=12,I77,0)</f>
        <v>0</v>
      </c>
      <c r="AL77" s="31">
        <f>IF(AN77=21,I77,0)</f>
        <v>0</v>
      </c>
      <c r="AN77" s="31">
        <v>21</v>
      </c>
      <c r="AO77" s="31">
        <f>H77*0.988435037543211</f>
        <v>0</v>
      </c>
      <c r="AP77" s="31">
        <f>H77*(1-0.988435037543211)</f>
        <v>0</v>
      </c>
      <c r="AQ77" s="32" t="s">
        <v>154</v>
      </c>
      <c r="AV77" s="31">
        <f>AW77+AX77</f>
        <v>0</v>
      </c>
      <c r="AW77" s="31">
        <f>G77*AO77</f>
        <v>0</v>
      </c>
      <c r="AX77" s="31">
        <f>G77*AP77</f>
        <v>0</v>
      </c>
      <c r="AY77" s="32" t="s">
        <v>210</v>
      </c>
      <c r="AZ77" s="32" t="s">
        <v>211</v>
      </c>
      <c r="BA77" s="42" t="s">
        <v>128</v>
      </c>
      <c r="BC77" s="31">
        <f>AW77+AX77</f>
        <v>0</v>
      </c>
      <c r="BD77" s="31">
        <f>H77/(100-BE77)*100</f>
        <v>0</v>
      </c>
      <c r="BE77" s="31">
        <v>0</v>
      </c>
      <c r="BF77" s="31">
        <f>K77</f>
        <v>0.2704845</v>
      </c>
      <c r="BH77" s="31">
        <f>G77*AO77</f>
        <v>0</v>
      </c>
      <c r="BI77" s="31">
        <f>G77*AP77</f>
        <v>0</v>
      </c>
      <c r="BJ77" s="31">
        <f>G77*H77</f>
        <v>0</v>
      </c>
      <c r="BK77" s="31"/>
      <c r="BL77" s="31">
        <v>762</v>
      </c>
      <c r="BW77" s="31">
        <v>21</v>
      </c>
    </row>
    <row r="78" spans="1:12" ht="15" customHeight="1">
      <c r="A78" s="60"/>
      <c r="D78" s="61" t="s">
        <v>242</v>
      </c>
      <c r="E78" s="62"/>
      <c r="G78" s="63">
        <v>16.393</v>
      </c>
      <c r="L78" s="64"/>
    </row>
    <row r="79" spans="1:75" ht="13.5" customHeight="1">
      <c r="A79" s="30" t="s">
        <v>243</v>
      </c>
      <c r="B79" s="3" t="s">
        <v>85</v>
      </c>
      <c r="C79" s="3" t="s">
        <v>244</v>
      </c>
      <c r="D79" s="78" t="s">
        <v>245</v>
      </c>
      <c r="E79" s="78"/>
      <c r="F79" s="3" t="s">
        <v>209</v>
      </c>
      <c r="G79" s="31">
        <f>'Stavební rozpočet'!G72</f>
        <v>399.643</v>
      </c>
      <c r="H79" s="170">
        <v>0</v>
      </c>
      <c r="I79" s="31">
        <f>G79*H79</f>
        <v>0</v>
      </c>
      <c r="J79" s="31">
        <f>'Stavební rozpočet'!J72</f>
        <v>0.00099</v>
      </c>
      <c r="K79" s="31">
        <f>G79*J79</f>
        <v>0.39564657</v>
      </c>
      <c r="L79" s="59" t="s">
        <v>125</v>
      </c>
      <c r="Z79" s="31">
        <f>IF(AQ79="5",BJ79,0)</f>
        <v>0</v>
      </c>
      <c r="AB79" s="31">
        <f>IF(AQ79="1",BH79,0)</f>
        <v>0</v>
      </c>
      <c r="AC79" s="31">
        <f>IF(AQ79="1",BI79,0)</f>
        <v>0</v>
      </c>
      <c r="AD79" s="31">
        <f>IF(AQ79="7",BH79,0)</f>
        <v>0</v>
      </c>
      <c r="AE79" s="31">
        <f>IF(AQ79="7",BI79,0)</f>
        <v>0</v>
      </c>
      <c r="AF79" s="31">
        <f>IF(AQ79="2",BH79,0)</f>
        <v>0</v>
      </c>
      <c r="AG79" s="31">
        <f>IF(AQ79="2",BI79,0)</f>
        <v>0</v>
      </c>
      <c r="AH79" s="31">
        <f>IF(AQ79="0",BJ79,0)</f>
        <v>0</v>
      </c>
      <c r="AI79" s="42" t="s">
        <v>85</v>
      </c>
      <c r="AJ79" s="31">
        <f>IF(AN79=0,I79,0)</f>
        <v>0</v>
      </c>
      <c r="AK79" s="31">
        <f>IF(AN79=12,I79,0)</f>
        <v>0</v>
      </c>
      <c r="AL79" s="31">
        <f>IF(AN79=21,I79,0)</f>
        <v>0</v>
      </c>
      <c r="AN79" s="31">
        <v>21</v>
      </c>
      <c r="AO79" s="31">
        <f>H79*0.0340533897362593</f>
        <v>0</v>
      </c>
      <c r="AP79" s="31">
        <f>H79*(1-0.0340533897362593)</f>
        <v>0</v>
      </c>
      <c r="AQ79" s="32" t="s">
        <v>154</v>
      </c>
      <c r="AV79" s="31">
        <f>AW79+AX79</f>
        <v>0</v>
      </c>
      <c r="AW79" s="31">
        <f>G79*AO79</f>
        <v>0</v>
      </c>
      <c r="AX79" s="31">
        <f>G79*AP79</f>
        <v>0</v>
      </c>
      <c r="AY79" s="32" t="s">
        <v>210</v>
      </c>
      <c r="AZ79" s="32" t="s">
        <v>211</v>
      </c>
      <c r="BA79" s="42" t="s">
        <v>128</v>
      </c>
      <c r="BC79" s="31">
        <f>AW79+AX79</f>
        <v>0</v>
      </c>
      <c r="BD79" s="31">
        <f>H79/(100-BE79)*100</f>
        <v>0</v>
      </c>
      <c r="BE79" s="31">
        <v>0</v>
      </c>
      <c r="BF79" s="31">
        <f>K79</f>
        <v>0.39564657</v>
      </c>
      <c r="BH79" s="31">
        <f>G79*AO79</f>
        <v>0</v>
      </c>
      <c r="BI79" s="31">
        <f>G79*AP79</f>
        <v>0</v>
      </c>
      <c r="BJ79" s="31">
        <f>G79*H79</f>
        <v>0</v>
      </c>
      <c r="BK79" s="31"/>
      <c r="BL79" s="31">
        <v>762</v>
      </c>
      <c r="BW79" s="31">
        <v>21</v>
      </c>
    </row>
    <row r="80" spans="1:12" ht="15" customHeight="1">
      <c r="A80" s="60"/>
      <c r="D80" s="61" t="s">
        <v>246</v>
      </c>
      <c r="E80" s="62"/>
      <c r="G80" s="63">
        <v>399.64300000000003</v>
      </c>
      <c r="L80" s="64"/>
    </row>
    <row r="81" spans="1:75" ht="13.5" customHeight="1">
      <c r="A81" s="30" t="s">
        <v>247</v>
      </c>
      <c r="B81" s="3" t="s">
        <v>85</v>
      </c>
      <c r="C81" s="3" t="s">
        <v>248</v>
      </c>
      <c r="D81" s="78" t="s">
        <v>249</v>
      </c>
      <c r="E81" s="78"/>
      <c r="F81" s="3" t="s">
        <v>241</v>
      </c>
      <c r="G81" s="31">
        <f>'Stavební rozpočet'!G74</f>
        <v>5.89755</v>
      </c>
      <c r="H81" s="170">
        <v>0</v>
      </c>
      <c r="I81" s="31">
        <f>G81*H81</f>
        <v>0</v>
      </c>
      <c r="J81" s="31">
        <f>'Stavební rozpočet'!J74</f>
        <v>0.55</v>
      </c>
      <c r="K81" s="31">
        <f>G81*J81</f>
        <v>3.2436525</v>
      </c>
      <c r="L81" s="59" t="s">
        <v>125</v>
      </c>
      <c r="Z81" s="31">
        <f>IF(AQ81="5",BJ81,0)</f>
        <v>0</v>
      </c>
      <c r="AB81" s="31">
        <f>IF(AQ81="1",BH81,0)</f>
        <v>0</v>
      </c>
      <c r="AC81" s="31">
        <f>IF(AQ81="1",BI81,0)</f>
        <v>0</v>
      </c>
      <c r="AD81" s="31">
        <f>IF(AQ81="7",BH81,0)</f>
        <v>0</v>
      </c>
      <c r="AE81" s="31">
        <f>IF(AQ81="7",BI81,0)</f>
        <v>0</v>
      </c>
      <c r="AF81" s="31">
        <f>IF(AQ81="2",BH81,0)</f>
        <v>0</v>
      </c>
      <c r="AG81" s="31">
        <f>IF(AQ81="2",BI81,0)</f>
        <v>0</v>
      </c>
      <c r="AH81" s="31">
        <f>IF(AQ81="0",BJ81,0)</f>
        <v>0</v>
      </c>
      <c r="AI81" s="42" t="s">
        <v>85</v>
      </c>
      <c r="AJ81" s="31">
        <f>IF(AN81=0,I81,0)</f>
        <v>0</v>
      </c>
      <c r="AK81" s="31">
        <f>IF(AN81=12,I81,0)</f>
        <v>0</v>
      </c>
      <c r="AL81" s="31">
        <f>IF(AN81=21,I81,0)</f>
        <v>0</v>
      </c>
      <c r="AN81" s="31">
        <v>21</v>
      </c>
      <c r="AO81" s="31">
        <f>H81*1</f>
        <v>0</v>
      </c>
      <c r="AP81" s="31">
        <f>H81*(1-1)</f>
        <v>0</v>
      </c>
      <c r="AQ81" s="32" t="s">
        <v>154</v>
      </c>
      <c r="AV81" s="31">
        <f>AW81+AX81</f>
        <v>0</v>
      </c>
      <c r="AW81" s="31">
        <f>G81*AO81</f>
        <v>0</v>
      </c>
      <c r="AX81" s="31">
        <f>G81*AP81</f>
        <v>0</v>
      </c>
      <c r="AY81" s="32" t="s">
        <v>210</v>
      </c>
      <c r="AZ81" s="32" t="s">
        <v>211</v>
      </c>
      <c r="BA81" s="42" t="s">
        <v>128</v>
      </c>
      <c r="BC81" s="31">
        <f>AW81+AX81</f>
        <v>0</v>
      </c>
      <c r="BD81" s="31">
        <f>H81/(100-BE81)*100</f>
        <v>0</v>
      </c>
      <c r="BE81" s="31">
        <v>0</v>
      </c>
      <c r="BF81" s="31">
        <f>K81</f>
        <v>3.2436525</v>
      </c>
      <c r="BH81" s="31">
        <f>G81*AO81</f>
        <v>0</v>
      </c>
      <c r="BI81" s="31">
        <f>G81*AP81</f>
        <v>0</v>
      </c>
      <c r="BJ81" s="31">
        <f>G81*H81</f>
        <v>0</v>
      </c>
      <c r="BK81" s="31"/>
      <c r="BL81" s="31">
        <v>762</v>
      </c>
      <c r="BW81" s="31">
        <v>21</v>
      </c>
    </row>
    <row r="82" spans="1:12" ht="15" customHeight="1">
      <c r="A82" s="60"/>
      <c r="D82" s="61" t="s">
        <v>250</v>
      </c>
      <c r="E82" s="62"/>
      <c r="G82" s="63">
        <v>0.34596000000000005</v>
      </c>
      <c r="L82" s="64"/>
    </row>
    <row r="83" spans="1:12" ht="15" customHeight="1">
      <c r="A83" s="60"/>
      <c r="D83" s="61" t="s">
        <v>251</v>
      </c>
      <c r="E83" s="62"/>
      <c r="G83" s="63">
        <v>0.51563</v>
      </c>
      <c r="L83" s="64"/>
    </row>
    <row r="84" spans="1:12" ht="15" customHeight="1">
      <c r="A84" s="60"/>
      <c r="D84" s="61" t="s">
        <v>252</v>
      </c>
      <c r="E84" s="62"/>
      <c r="G84" s="63">
        <v>0.9224000000000001</v>
      </c>
      <c r="L84" s="64"/>
    </row>
    <row r="85" spans="1:12" ht="15" customHeight="1">
      <c r="A85" s="60"/>
      <c r="D85" s="61" t="s">
        <v>253</v>
      </c>
      <c r="E85" s="62"/>
      <c r="G85" s="63">
        <v>0.93288</v>
      </c>
      <c r="L85" s="64"/>
    </row>
    <row r="86" spans="1:12" ht="15" customHeight="1">
      <c r="A86" s="60"/>
      <c r="D86" s="61" t="s">
        <v>254</v>
      </c>
      <c r="E86" s="62"/>
      <c r="G86" s="63">
        <v>0.23270000000000002</v>
      </c>
      <c r="L86" s="64"/>
    </row>
    <row r="87" spans="1:12" ht="15" customHeight="1">
      <c r="A87" s="60"/>
      <c r="D87" s="61" t="s">
        <v>255</v>
      </c>
      <c r="E87" s="62"/>
      <c r="G87" s="63">
        <v>0.80205</v>
      </c>
      <c r="L87" s="64"/>
    </row>
    <row r="88" spans="1:12" ht="15" customHeight="1">
      <c r="A88" s="60"/>
      <c r="D88" s="61" t="s">
        <v>256</v>
      </c>
      <c r="E88" s="62"/>
      <c r="G88" s="63">
        <v>0.6047600000000001</v>
      </c>
      <c r="L88" s="64"/>
    </row>
    <row r="89" spans="1:12" ht="15" customHeight="1">
      <c r="A89" s="60"/>
      <c r="D89" s="61" t="s">
        <v>257</v>
      </c>
      <c r="E89" s="62"/>
      <c r="G89" s="63">
        <v>1.00503</v>
      </c>
      <c r="L89" s="64"/>
    </row>
    <row r="90" spans="1:12" ht="15" customHeight="1">
      <c r="A90" s="60"/>
      <c r="D90" s="61" t="s">
        <v>258</v>
      </c>
      <c r="E90" s="62"/>
      <c r="G90" s="63">
        <v>0.5361400000000001</v>
      </c>
      <c r="L90" s="64"/>
    </row>
    <row r="91" spans="1:75" ht="13.5" customHeight="1">
      <c r="A91" s="30" t="s">
        <v>259</v>
      </c>
      <c r="B91" s="3" t="s">
        <v>85</v>
      </c>
      <c r="C91" s="3" t="s">
        <v>260</v>
      </c>
      <c r="D91" s="78" t="s">
        <v>261</v>
      </c>
      <c r="E91" s="78"/>
      <c r="F91" s="3" t="s">
        <v>209</v>
      </c>
      <c r="G91" s="31">
        <f>'Stavební rozpočet'!G84</f>
        <v>23.887</v>
      </c>
      <c r="H91" s="170">
        <v>0</v>
      </c>
      <c r="I91" s="31">
        <f>G91*H91</f>
        <v>0</v>
      </c>
      <c r="J91" s="31">
        <f>'Stavební rozpočet'!J84</f>
        <v>0.00099</v>
      </c>
      <c r="K91" s="31">
        <f>G91*J91</f>
        <v>0.02364813</v>
      </c>
      <c r="L91" s="59" t="s">
        <v>125</v>
      </c>
      <c r="Z91" s="31">
        <f>IF(AQ91="5",BJ91,0)</f>
        <v>0</v>
      </c>
      <c r="AB91" s="31">
        <f>IF(AQ91="1",BH91,0)</f>
        <v>0</v>
      </c>
      <c r="AC91" s="31">
        <f>IF(AQ91="1",BI91,0)</f>
        <v>0</v>
      </c>
      <c r="AD91" s="31">
        <f>IF(AQ91="7",BH91,0)</f>
        <v>0</v>
      </c>
      <c r="AE91" s="31">
        <f>IF(AQ91="7",BI91,0)</f>
        <v>0</v>
      </c>
      <c r="AF91" s="31">
        <f>IF(AQ91="2",BH91,0)</f>
        <v>0</v>
      </c>
      <c r="AG91" s="31">
        <f>IF(AQ91="2",BI91,0)</f>
        <v>0</v>
      </c>
      <c r="AH91" s="31">
        <f>IF(AQ91="0",BJ91,0)</f>
        <v>0</v>
      </c>
      <c r="AI91" s="42" t="s">
        <v>85</v>
      </c>
      <c r="AJ91" s="31">
        <f>IF(AN91=0,I91,0)</f>
        <v>0</v>
      </c>
      <c r="AK91" s="31">
        <f>IF(AN91=12,I91,0)</f>
        <v>0</v>
      </c>
      <c r="AL91" s="31">
        <f>IF(AN91=21,I91,0)</f>
        <v>0</v>
      </c>
      <c r="AN91" s="31">
        <v>21</v>
      </c>
      <c r="AO91" s="31">
        <f>H91*0.026683662989526</f>
        <v>0</v>
      </c>
      <c r="AP91" s="31">
        <f>H91*(1-0.026683662989526)</f>
        <v>0</v>
      </c>
      <c r="AQ91" s="32" t="s">
        <v>154</v>
      </c>
      <c r="AV91" s="31">
        <f>AW91+AX91</f>
        <v>0</v>
      </c>
      <c r="AW91" s="31">
        <f>G91*AO91</f>
        <v>0</v>
      </c>
      <c r="AX91" s="31">
        <f>G91*AP91</f>
        <v>0</v>
      </c>
      <c r="AY91" s="32" t="s">
        <v>210</v>
      </c>
      <c r="AZ91" s="32" t="s">
        <v>211</v>
      </c>
      <c r="BA91" s="42" t="s">
        <v>128</v>
      </c>
      <c r="BC91" s="31">
        <f>AW91+AX91</f>
        <v>0</v>
      </c>
      <c r="BD91" s="31">
        <f>H91/(100-BE91)*100</f>
        <v>0</v>
      </c>
      <c r="BE91" s="31">
        <v>0</v>
      </c>
      <c r="BF91" s="31">
        <f>K91</f>
        <v>0.02364813</v>
      </c>
      <c r="BH91" s="31">
        <f>G91*AO91</f>
        <v>0</v>
      </c>
      <c r="BI91" s="31">
        <f>G91*AP91</f>
        <v>0</v>
      </c>
      <c r="BJ91" s="31">
        <f>G91*H91</f>
        <v>0</v>
      </c>
      <c r="BK91" s="31"/>
      <c r="BL91" s="31">
        <v>762</v>
      </c>
      <c r="BW91" s="31">
        <v>21</v>
      </c>
    </row>
    <row r="92" spans="1:12" ht="15" customHeight="1">
      <c r="A92" s="60"/>
      <c r="D92" s="61" t="s">
        <v>262</v>
      </c>
      <c r="E92" s="62"/>
      <c r="G92" s="63">
        <v>17.214000000000002</v>
      </c>
      <c r="L92" s="64"/>
    </row>
    <row r="93" spans="1:12" ht="15" customHeight="1">
      <c r="A93" s="60"/>
      <c r="D93" s="61" t="s">
        <v>263</v>
      </c>
      <c r="E93" s="62"/>
      <c r="G93" s="63">
        <v>6.673000000000001</v>
      </c>
      <c r="L93" s="64"/>
    </row>
    <row r="94" spans="1:75" ht="13.5" customHeight="1">
      <c r="A94" s="30" t="s">
        <v>264</v>
      </c>
      <c r="B94" s="3" t="s">
        <v>85</v>
      </c>
      <c r="C94" s="3" t="s">
        <v>265</v>
      </c>
      <c r="D94" s="78" t="s">
        <v>266</v>
      </c>
      <c r="E94" s="78"/>
      <c r="F94" s="3" t="s">
        <v>241</v>
      </c>
      <c r="G94" s="31">
        <f>'Stavební rozpočet'!G87</f>
        <v>0.67445</v>
      </c>
      <c r="H94" s="170">
        <v>0</v>
      </c>
      <c r="I94" s="31">
        <f>G94*H94</f>
        <v>0</v>
      </c>
      <c r="J94" s="31">
        <f>'Stavební rozpočet'!J87</f>
        <v>0.55</v>
      </c>
      <c r="K94" s="31">
        <f>G94*J94</f>
        <v>0.37094750000000004</v>
      </c>
      <c r="L94" s="59" t="s">
        <v>125</v>
      </c>
      <c r="Z94" s="31">
        <f>IF(AQ94="5",BJ94,0)</f>
        <v>0</v>
      </c>
      <c r="AB94" s="31">
        <f>IF(AQ94="1",BH94,0)</f>
        <v>0</v>
      </c>
      <c r="AC94" s="31">
        <f>IF(AQ94="1",BI94,0)</f>
        <v>0</v>
      </c>
      <c r="AD94" s="31">
        <f>IF(AQ94="7",BH94,0)</f>
        <v>0</v>
      </c>
      <c r="AE94" s="31">
        <f>IF(AQ94="7",BI94,0)</f>
        <v>0</v>
      </c>
      <c r="AF94" s="31">
        <f>IF(AQ94="2",BH94,0)</f>
        <v>0</v>
      </c>
      <c r="AG94" s="31">
        <f>IF(AQ94="2",BI94,0)</f>
        <v>0</v>
      </c>
      <c r="AH94" s="31">
        <f>IF(AQ94="0",BJ94,0)</f>
        <v>0</v>
      </c>
      <c r="AI94" s="42" t="s">
        <v>85</v>
      </c>
      <c r="AJ94" s="31">
        <f>IF(AN94=0,I94,0)</f>
        <v>0</v>
      </c>
      <c r="AK94" s="31">
        <f>IF(AN94=12,I94,0)</f>
        <v>0</v>
      </c>
      <c r="AL94" s="31">
        <f>IF(AN94=21,I94,0)</f>
        <v>0</v>
      </c>
      <c r="AN94" s="31">
        <v>21</v>
      </c>
      <c r="AO94" s="31">
        <f>H94*1</f>
        <v>0</v>
      </c>
      <c r="AP94" s="31">
        <f>H94*(1-1)</f>
        <v>0</v>
      </c>
      <c r="AQ94" s="32" t="s">
        <v>154</v>
      </c>
      <c r="AV94" s="31">
        <f>AW94+AX94</f>
        <v>0</v>
      </c>
      <c r="AW94" s="31">
        <f>G94*AO94</f>
        <v>0</v>
      </c>
      <c r="AX94" s="31">
        <f>G94*AP94</f>
        <v>0</v>
      </c>
      <c r="AY94" s="32" t="s">
        <v>210</v>
      </c>
      <c r="AZ94" s="32" t="s">
        <v>211</v>
      </c>
      <c r="BA94" s="42" t="s">
        <v>128</v>
      </c>
      <c r="BC94" s="31">
        <f>AW94+AX94</f>
        <v>0</v>
      </c>
      <c r="BD94" s="31">
        <f>H94/(100-BE94)*100</f>
        <v>0</v>
      </c>
      <c r="BE94" s="31">
        <v>0</v>
      </c>
      <c r="BF94" s="31">
        <f>K94</f>
        <v>0.37094750000000004</v>
      </c>
      <c r="BH94" s="31">
        <f>G94*AO94</f>
        <v>0</v>
      </c>
      <c r="BI94" s="31">
        <f>G94*AP94</f>
        <v>0</v>
      </c>
      <c r="BJ94" s="31">
        <f>G94*H94</f>
        <v>0</v>
      </c>
      <c r="BK94" s="31"/>
      <c r="BL94" s="31">
        <v>762</v>
      </c>
      <c r="BW94" s="31">
        <v>21</v>
      </c>
    </row>
    <row r="95" spans="1:12" ht="15" customHeight="1">
      <c r="A95" s="60"/>
      <c r="D95" s="61" t="s">
        <v>267</v>
      </c>
      <c r="E95" s="62"/>
      <c r="G95" s="63">
        <v>0.43379</v>
      </c>
      <c r="L95" s="64"/>
    </row>
    <row r="96" spans="1:12" ht="15" customHeight="1">
      <c r="A96" s="60"/>
      <c r="D96" s="61" t="s">
        <v>268</v>
      </c>
      <c r="E96" s="62"/>
      <c r="G96" s="63">
        <v>0.17935</v>
      </c>
      <c r="L96" s="64"/>
    </row>
    <row r="97" spans="1:12" ht="15" customHeight="1">
      <c r="A97" s="60"/>
      <c r="D97" s="61" t="s">
        <v>269</v>
      </c>
      <c r="E97" s="62"/>
      <c r="G97" s="63">
        <v>0.06131</v>
      </c>
      <c r="L97" s="64"/>
    </row>
    <row r="98" spans="1:75" ht="13.5" customHeight="1">
      <c r="A98" s="30" t="s">
        <v>270</v>
      </c>
      <c r="B98" s="3" t="s">
        <v>85</v>
      </c>
      <c r="C98" s="3" t="s">
        <v>271</v>
      </c>
      <c r="D98" s="78" t="s">
        <v>272</v>
      </c>
      <c r="E98" s="78"/>
      <c r="F98" s="3" t="s">
        <v>209</v>
      </c>
      <c r="G98" s="31">
        <f>'Stavební rozpočet'!G91</f>
        <v>9.214</v>
      </c>
      <c r="H98" s="170">
        <v>0</v>
      </c>
      <c r="I98" s="31">
        <f>G98*H98</f>
        <v>0</v>
      </c>
      <c r="J98" s="31">
        <f>'Stavební rozpočet'!J91</f>
        <v>0.00099</v>
      </c>
      <c r="K98" s="31">
        <f>G98*J98</f>
        <v>0.00912186</v>
      </c>
      <c r="L98" s="59" t="s">
        <v>125</v>
      </c>
      <c r="Z98" s="31">
        <f>IF(AQ98="5",BJ98,0)</f>
        <v>0</v>
      </c>
      <c r="AB98" s="31">
        <f>IF(AQ98="1",BH98,0)</f>
        <v>0</v>
      </c>
      <c r="AC98" s="31">
        <f>IF(AQ98="1",BI98,0)</f>
        <v>0</v>
      </c>
      <c r="AD98" s="31">
        <f>IF(AQ98="7",BH98,0)</f>
        <v>0</v>
      </c>
      <c r="AE98" s="31">
        <f>IF(AQ98="7",BI98,0)</f>
        <v>0</v>
      </c>
      <c r="AF98" s="31">
        <f>IF(AQ98="2",BH98,0)</f>
        <v>0</v>
      </c>
      <c r="AG98" s="31">
        <f>IF(AQ98="2",BI98,0)</f>
        <v>0</v>
      </c>
      <c r="AH98" s="31">
        <f>IF(AQ98="0",BJ98,0)</f>
        <v>0</v>
      </c>
      <c r="AI98" s="42" t="s">
        <v>85</v>
      </c>
      <c r="AJ98" s="31">
        <f>IF(AN98=0,I98,0)</f>
        <v>0</v>
      </c>
      <c r="AK98" s="31">
        <f>IF(AN98=12,I98,0)</f>
        <v>0</v>
      </c>
      <c r="AL98" s="31">
        <f>IF(AN98=21,I98,0)</f>
        <v>0</v>
      </c>
      <c r="AN98" s="31">
        <v>21</v>
      </c>
      <c r="AO98" s="31">
        <f>H98*0.0246337087876844</f>
        <v>0</v>
      </c>
      <c r="AP98" s="31">
        <f>H98*(1-0.0246337087876844)</f>
        <v>0</v>
      </c>
      <c r="AQ98" s="32" t="s">
        <v>154</v>
      </c>
      <c r="AV98" s="31">
        <f>AW98+AX98</f>
        <v>0</v>
      </c>
      <c r="AW98" s="31">
        <f>G98*AO98</f>
        <v>0</v>
      </c>
      <c r="AX98" s="31">
        <f>G98*AP98</f>
        <v>0</v>
      </c>
      <c r="AY98" s="32" t="s">
        <v>210</v>
      </c>
      <c r="AZ98" s="32" t="s">
        <v>211</v>
      </c>
      <c r="BA98" s="42" t="s">
        <v>128</v>
      </c>
      <c r="BC98" s="31">
        <f>AW98+AX98</f>
        <v>0</v>
      </c>
      <c r="BD98" s="31">
        <f>H98/(100-BE98)*100</f>
        <v>0</v>
      </c>
      <c r="BE98" s="31">
        <v>0</v>
      </c>
      <c r="BF98" s="31">
        <f>K98</f>
        <v>0.00912186</v>
      </c>
      <c r="BH98" s="31">
        <f>G98*AO98</f>
        <v>0</v>
      </c>
      <c r="BI98" s="31">
        <f>G98*AP98</f>
        <v>0</v>
      </c>
      <c r="BJ98" s="31">
        <f>G98*H98</f>
        <v>0</v>
      </c>
      <c r="BK98" s="31"/>
      <c r="BL98" s="31">
        <v>762</v>
      </c>
      <c r="BW98" s="31">
        <v>21</v>
      </c>
    </row>
    <row r="99" spans="1:12" ht="15" customHeight="1">
      <c r="A99" s="60"/>
      <c r="D99" s="61" t="s">
        <v>273</v>
      </c>
      <c r="E99" s="62"/>
      <c r="G99" s="63">
        <v>9.214</v>
      </c>
      <c r="L99" s="64"/>
    </row>
    <row r="100" spans="1:75" ht="13.5" customHeight="1">
      <c r="A100" s="30" t="s">
        <v>274</v>
      </c>
      <c r="B100" s="3" t="s">
        <v>85</v>
      </c>
      <c r="C100" s="3" t="s">
        <v>275</v>
      </c>
      <c r="D100" s="78" t="s">
        <v>276</v>
      </c>
      <c r="E100" s="78"/>
      <c r="F100" s="3" t="s">
        <v>241</v>
      </c>
      <c r="G100" s="31">
        <f>'Stavební rozpočet'!G93</f>
        <v>0.41961</v>
      </c>
      <c r="H100" s="170">
        <v>0</v>
      </c>
      <c r="I100" s="31">
        <f>G100*H100</f>
        <v>0</v>
      </c>
      <c r="J100" s="31">
        <f>'Stavební rozpočet'!J93</f>
        <v>0.55</v>
      </c>
      <c r="K100" s="31">
        <f>G100*J100</f>
        <v>0.2307855</v>
      </c>
      <c r="L100" s="59" t="s">
        <v>125</v>
      </c>
      <c r="Z100" s="31">
        <f>IF(AQ100="5",BJ100,0)</f>
        <v>0</v>
      </c>
      <c r="AB100" s="31">
        <f>IF(AQ100="1",BH100,0)</f>
        <v>0</v>
      </c>
      <c r="AC100" s="31">
        <f>IF(AQ100="1",BI100,0)</f>
        <v>0</v>
      </c>
      <c r="AD100" s="31">
        <f>IF(AQ100="7",BH100,0)</f>
        <v>0</v>
      </c>
      <c r="AE100" s="31">
        <f>IF(AQ100="7",BI100,0)</f>
        <v>0</v>
      </c>
      <c r="AF100" s="31">
        <f>IF(AQ100="2",BH100,0)</f>
        <v>0</v>
      </c>
      <c r="AG100" s="31">
        <f>IF(AQ100="2",BI100,0)</f>
        <v>0</v>
      </c>
      <c r="AH100" s="31">
        <f>IF(AQ100="0",BJ100,0)</f>
        <v>0</v>
      </c>
      <c r="AI100" s="42" t="s">
        <v>85</v>
      </c>
      <c r="AJ100" s="31">
        <f>IF(AN100=0,I100,0)</f>
        <v>0</v>
      </c>
      <c r="AK100" s="31">
        <f>IF(AN100=12,I100,0)</f>
        <v>0</v>
      </c>
      <c r="AL100" s="31">
        <f>IF(AN100=21,I100,0)</f>
        <v>0</v>
      </c>
      <c r="AN100" s="31">
        <v>21</v>
      </c>
      <c r="AO100" s="31">
        <f>H100*1</f>
        <v>0</v>
      </c>
      <c r="AP100" s="31">
        <f>H100*(1-1)</f>
        <v>0</v>
      </c>
      <c r="AQ100" s="32" t="s">
        <v>154</v>
      </c>
      <c r="AV100" s="31">
        <f>AW100+AX100</f>
        <v>0</v>
      </c>
      <c r="AW100" s="31">
        <f>G100*AO100</f>
        <v>0</v>
      </c>
      <c r="AX100" s="31">
        <f>G100*AP100</f>
        <v>0</v>
      </c>
      <c r="AY100" s="32" t="s">
        <v>210</v>
      </c>
      <c r="AZ100" s="32" t="s">
        <v>211</v>
      </c>
      <c r="BA100" s="42" t="s">
        <v>128</v>
      </c>
      <c r="BC100" s="31">
        <f>AW100+AX100</f>
        <v>0</v>
      </c>
      <c r="BD100" s="31">
        <f>H100/(100-BE100)*100</f>
        <v>0</v>
      </c>
      <c r="BE100" s="31">
        <v>0</v>
      </c>
      <c r="BF100" s="31">
        <f>K100</f>
        <v>0.2307855</v>
      </c>
      <c r="BH100" s="31">
        <f>G100*AO100</f>
        <v>0</v>
      </c>
      <c r="BI100" s="31">
        <f>G100*AP100</f>
        <v>0</v>
      </c>
      <c r="BJ100" s="31">
        <f>G100*H100</f>
        <v>0</v>
      </c>
      <c r="BK100" s="31"/>
      <c r="BL100" s="31">
        <v>762</v>
      </c>
      <c r="BW100" s="31">
        <v>21</v>
      </c>
    </row>
    <row r="101" spans="1:12" ht="15" customHeight="1">
      <c r="A101" s="60"/>
      <c r="D101" s="61" t="s">
        <v>277</v>
      </c>
      <c r="E101" s="62"/>
      <c r="G101" s="63">
        <v>0.38146</v>
      </c>
      <c r="L101" s="64"/>
    </row>
    <row r="102" spans="1:12" ht="15" customHeight="1">
      <c r="A102" s="60"/>
      <c r="D102" s="61" t="s">
        <v>278</v>
      </c>
      <c r="E102" s="62"/>
      <c r="G102" s="63">
        <v>0.03815</v>
      </c>
      <c r="L102" s="64"/>
    </row>
    <row r="103" spans="1:75" ht="13.5" customHeight="1">
      <c r="A103" s="30" t="s">
        <v>279</v>
      </c>
      <c r="B103" s="3" t="s">
        <v>85</v>
      </c>
      <c r="C103" s="3" t="s">
        <v>280</v>
      </c>
      <c r="D103" s="78" t="s">
        <v>281</v>
      </c>
      <c r="E103" s="78"/>
      <c r="F103" s="3" t="s">
        <v>124</v>
      </c>
      <c r="G103" s="31">
        <f>'Stavební rozpočet'!G96</f>
        <v>18.68</v>
      </c>
      <c r="H103" s="170">
        <v>0</v>
      </c>
      <c r="I103" s="31">
        <f>G103*H103</f>
        <v>0</v>
      </c>
      <c r="J103" s="31">
        <f>'Stavební rozpočet'!J96</f>
        <v>0</v>
      </c>
      <c r="K103" s="31">
        <f>G103*J103</f>
        <v>0</v>
      </c>
      <c r="L103" s="59" t="s">
        <v>125</v>
      </c>
      <c r="Z103" s="31">
        <f>IF(AQ103="5",BJ103,0)</f>
        <v>0</v>
      </c>
      <c r="AB103" s="31">
        <f>IF(AQ103="1",BH103,0)</f>
        <v>0</v>
      </c>
      <c r="AC103" s="31">
        <f>IF(AQ103="1",BI103,0)</f>
        <v>0</v>
      </c>
      <c r="AD103" s="31">
        <f>IF(AQ103="7",BH103,0)</f>
        <v>0</v>
      </c>
      <c r="AE103" s="31">
        <f>IF(AQ103="7",BI103,0)</f>
        <v>0</v>
      </c>
      <c r="AF103" s="31">
        <f>IF(AQ103="2",BH103,0)</f>
        <v>0</v>
      </c>
      <c r="AG103" s="31">
        <f>IF(AQ103="2",BI103,0)</f>
        <v>0</v>
      </c>
      <c r="AH103" s="31">
        <f>IF(AQ103="0",BJ103,0)</f>
        <v>0</v>
      </c>
      <c r="AI103" s="42" t="s">
        <v>85</v>
      </c>
      <c r="AJ103" s="31">
        <f>IF(AN103=0,I103,0)</f>
        <v>0</v>
      </c>
      <c r="AK103" s="31">
        <f>IF(AN103=12,I103,0)</f>
        <v>0</v>
      </c>
      <c r="AL103" s="31">
        <f>IF(AN103=21,I103,0)</f>
        <v>0</v>
      </c>
      <c r="AN103" s="31">
        <v>21</v>
      </c>
      <c r="AO103" s="31">
        <f>H103*0</f>
        <v>0</v>
      </c>
      <c r="AP103" s="31">
        <f>H103*(1-0)</f>
        <v>0</v>
      </c>
      <c r="AQ103" s="32" t="s">
        <v>154</v>
      </c>
      <c r="AV103" s="31">
        <f>AW103+AX103</f>
        <v>0</v>
      </c>
      <c r="AW103" s="31">
        <f>G103*AO103</f>
        <v>0</v>
      </c>
      <c r="AX103" s="31">
        <f>G103*AP103</f>
        <v>0</v>
      </c>
      <c r="AY103" s="32" t="s">
        <v>210</v>
      </c>
      <c r="AZ103" s="32" t="s">
        <v>211</v>
      </c>
      <c r="BA103" s="42" t="s">
        <v>128</v>
      </c>
      <c r="BC103" s="31">
        <f>AW103+AX103</f>
        <v>0</v>
      </c>
      <c r="BD103" s="31">
        <f>H103/(100-BE103)*100</f>
        <v>0</v>
      </c>
      <c r="BE103" s="31">
        <v>0</v>
      </c>
      <c r="BF103" s="31">
        <f>K103</f>
        <v>0</v>
      </c>
      <c r="BH103" s="31">
        <f>G103*AO103</f>
        <v>0</v>
      </c>
      <c r="BI103" s="31">
        <f>G103*AP103</f>
        <v>0</v>
      </c>
      <c r="BJ103" s="31">
        <f>G103*H103</f>
        <v>0</v>
      </c>
      <c r="BK103" s="31"/>
      <c r="BL103" s="31">
        <v>762</v>
      </c>
      <c r="BW103" s="31">
        <v>21</v>
      </c>
    </row>
    <row r="104" spans="1:12" ht="15" customHeight="1">
      <c r="A104" s="60"/>
      <c r="D104" s="61" t="s">
        <v>282</v>
      </c>
      <c r="E104" s="62"/>
      <c r="G104" s="63">
        <v>18.680000000000003</v>
      </c>
      <c r="L104" s="64"/>
    </row>
    <row r="105" spans="1:75" ht="13.5" customHeight="1">
      <c r="A105" s="30" t="s">
        <v>283</v>
      </c>
      <c r="B105" s="3" t="s">
        <v>85</v>
      </c>
      <c r="C105" s="3" t="s">
        <v>284</v>
      </c>
      <c r="D105" s="78" t="s">
        <v>285</v>
      </c>
      <c r="E105" s="78"/>
      <c r="F105" s="3" t="s">
        <v>241</v>
      </c>
      <c r="G105" s="31">
        <f>'Stavební rozpočet'!G98</f>
        <v>0.61644</v>
      </c>
      <c r="H105" s="170">
        <v>0</v>
      </c>
      <c r="I105" s="31">
        <f>G105*H105</f>
        <v>0</v>
      </c>
      <c r="J105" s="31">
        <f>'Stavební rozpočet'!J98</f>
        <v>0.55</v>
      </c>
      <c r="K105" s="31">
        <f>G105*J105</f>
        <v>0.339042</v>
      </c>
      <c r="L105" s="59" t="s">
        <v>125</v>
      </c>
      <c r="Z105" s="31">
        <f>IF(AQ105="5",BJ105,0)</f>
        <v>0</v>
      </c>
      <c r="AB105" s="31">
        <f>IF(AQ105="1",BH105,0)</f>
        <v>0</v>
      </c>
      <c r="AC105" s="31">
        <f>IF(AQ105="1",BI105,0)</f>
        <v>0</v>
      </c>
      <c r="AD105" s="31">
        <f>IF(AQ105="7",BH105,0)</f>
        <v>0</v>
      </c>
      <c r="AE105" s="31">
        <f>IF(AQ105="7",BI105,0)</f>
        <v>0</v>
      </c>
      <c r="AF105" s="31">
        <f>IF(AQ105="2",BH105,0)</f>
        <v>0</v>
      </c>
      <c r="AG105" s="31">
        <f>IF(AQ105="2",BI105,0)</f>
        <v>0</v>
      </c>
      <c r="AH105" s="31">
        <f>IF(AQ105="0",BJ105,0)</f>
        <v>0</v>
      </c>
      <c r="AI105" s="42" t="s">
        <v>85</v>
      </c>
      <c r="AJ105" s="31">
        <f>IF(AN105=0,I105,0)</f>
        <v>0</v>
      </c>
      <c r="AK105" s="31">
        <f>IF(AN105=12,I105,0)</f>
        <v>0</v>
      </c>
      <c r="AL105" s="31">
        <f>IF(AN105=21,I105,0)</f>
        <v>0</v>
      </c>
      <c r="AN105" s="31">
        <v>21</v>
      </c>
      <c r="AO105" s="31">
        <f>H105*1</f>
        <v>0</v>
      </c>
      <c r="AP105" s="31">
        <f>H105*(1-1)</f>
        <v>0</v>
      </c>
      <c r="AQ105" s="32" t="s">
        <v>154</v>
      </c>
      <c r="AV105" s="31">
        <f>AW105+AX105</f>
        <v>0</v>
      </c>
      <c r="AW105" s="31">
        <f>G105*AO105</f>
        <v>0</v>
      </c>
      <c r="AX105" s="31">
        <f>G105*AP105</f>
        <v>0</v>
      </c>
      <c r="AY105" s="32" t="s">
        <v>210</v>
      </c>
      <c r="AZ105" s="32" t="s">
        <v>211</v>
      </c>
      <c r="BA105" s="42" t="s">
        <v>128</v>
      </c>
      <c r="BC105" s="31">
        <f>AW105+AX105</f>
        <v>0</v>
      </c>
      <c r="BD105" s="31">
        <f>H105/(100-BE105)*100</f>
        <v>0</v>
      </c>
      <c r="BE105" s="31">
        <v>0</v>
      </c>
      <c r="BF105" s="31">
        <f>K105</f>
        <v>0.339042</v>
      </c>
      <c r="BH105" s="31">
        <f>G105*AO105</f>
        <v>0</v>
      </c>
      <c r="BI105" s="31">
        <f>G105*AP105</f>
        <v>0</v>
      </c>
      <c r="BJ105" s="31">
        <f>G105*H105</f>
        <v>0</v>
      </c>
      <c r="BK105" s="31"/>
      <c r="BL105" s="31">
        <v>762</v>
      </c>
      <c r="BW105" s="31">
        <v>21</v>
      </c>
    </row>
    <row r="106" spans="1:12" ht="15" customHeight="1">
      <c r="A106" s="60"/>
      <c r="D106" s="61" t="s">
        <v>286</v>
      </c>
      <c r="E106" s="62"/>
      <c r="G106" s="63">
        <v>0.5604</v>
      </c>
      <c r="L106" s="64"/>
    </row>
    <row r="107" spans="1:12" ht="15" customHeight="1">
      <c r="A107" s="60"/>
      <c r="D107" s="61" t="s">
        <v>287</v>
      </c>
      <c r="E107" s="62"/>
      <c r="G107" s="63">
        <v>0.056040000000000006</v>
      </c>
      <c r="L107" s="64"/>
    </row>
    <row r="108" spans="1:75" ht="13.5" customHeight="1">
      <c r="A108" s="30" t="s">
        <v>288</v>
      </c>
      <c r="B108" s="3" t="s">
        <v>85</v>
      </c>
      <c r="C108" s="3" t="s">
        <v>289</v>
      </c>
      <c r="D108" s="78" t="s">
        <v>290</v>
      </c>
      <c r="E108" s="78"/>
      <c r="F108" s="3" t="s">
        <v>124</v>
      </c>
      <c r="G108" s="31">
        <f>'Stavební rozpočet'!G101</f>
        <v>542.994</v>
      </c>
      <c r="H108" s="170">
        <v>0</v>
      </c>
      <c r="I108" s="31">
        <f>G108*H108</f>
        <v>0</v>
      </c>
      <c r="J108" s="31">
        <f>'Stavební rozpočet'!J101</f>
        <v>0</v>
      </c>
      <c r="K108" s="31">
        <f>G108*J108</f>
        <v>0</v>
      </c>
      <c r="L108" s="59" t="s">
        <v>125</v>
      </c>
      <c r="Z108" s="31">
        <f>IF(AQ108="5",BJ108,0)</f>
        <v>0</v>
      </c>
      <c r="AB108" s="31">
        <f>IF(AQ108="1",BH108,0)</f>
        <v>0</v>
      </c>
      <c r="AC108" s="31">
        <f>IF(AQ108="1",BI108,0)</f>
        <v>0</v>
      </c>
      <c r="AD108" s="31">
        <f>IF(AQ108="7",BH108,0)</f>
        <v>0</v>
      </c>
      <c r="AE108" s="31">
        <f>IF(AQ108="7",BI108,0)</f>
        <v>0</v>
      </c>
      <c r="AF108" s="31">
        <f>IF(AQ108="2",BH108,0)</f>
        <v>0</v>
      </c>
      <c r="AG108" s="31">
        <f>IF(AQ108="2",BI108,0)</f>
        <v>0</v>
      </c>
      <c r="AH108" s="31">
        <f>IF(AQ108="0",BJ108,0)</f>
        <v>0</v>
      </c>
      <c r="AI108" s="42" t="s">
        <v>85</v>
      </c>
      <c r="AJ108" s="31">
        <f>IF(AN108=0,I108,0)</f>
        <v>0</v>
      </c>
      <c r="AK108" s="31">
        <f>IF(AN108=12,I108,0)</f>
        <v>0</v>
      </c>
      <c r="AL108" s="31">
        <f>IF(AN108=21,I108,0)</f>
        <v>0</v>
      </c>
      <c r="AN108" s="31">
        <v>21</v>
      </c>
      <c r="AO108" s="31">
        <f>H108*0</f>
        <v>0</v>
      </c>
      <c r="AP108" s="31">
        <f>H108*(1-0)</f>
        <v>0</v>
      </c>
      <c r="AQ108" s="32" t="s">
        <v>154</v>
      </c>
      <c r="AV108" s="31">
        <f>AW108+AX108</f>
        <v>0</v>
      </c>
      <c r="AW108" s="31">
        <f>G108*AO108</f>
        <v>0</v>
      </c>
      <c r="AX108" s="31">
        <f>G108*AP108</f>
        <v>0</v>
      </c>
      <c r="AY108" s="32" t="s">
        <v>210</v>
      </c>
      <c r="AZ108" s="32" t="s">
        <v>211</v>
      </c>
      <c r="BA108" s="42" t="s">
        <v>128</v>
      </c>
      <c r="BC108" s="31">
        <f>AW108+AX108</f>
        <v>0</v>
      </c>
      <c r="BD108" s="31">
        <f>H108/(100-BE108)*100</f>
        <v>0</v>
      </c>
      <c r="BE108" s="31">
        <v>0</v>
      </c>
      <c r="BF108" s="31">
        <f>K108</f>
        <v>0</v>
      </c>
      <c r="BH108" s="31">
        <f>G108*AO108</f>
        <v>0</v>
      </c>
      <c r="BI108" s="31">
        <f>G108*AP108</f>
        <v>0</v>
      </c>
      <c r="BJ108" s="31">
        <f>G108*H108</f>
        <v>0</v>
      </c>
      <c r="BK108" s="31"/>
      <c r="BL108" s="31">
        <v>762</v>
      </c>
      <c r="BW108" s="31">
        <v>21</v>
      </c>
    </row>
    <row r="109" spans="1:12" ht="15" customHeight="1">
      <c r="A109" s="60"/>
      <c r="D109" s="61" t="s">
        <v>237</v>
      </c>
      <c r="E109" s="62"/>
      <c r="G109" s="63">
        <v>542.994</v>
      </c>
      <c r="L109" s="64"/>
    </row>
    <row r="110" spans="1:75" ht="13.5" customHeight="1">
      <c r="A110" s="30" t="s">
        <v>291</v>
      </c>
      <c r="B110" s="3" t="s">
        <v>85</v>
      </c>
      <c r="C110" s="3" t="s">
        <v>292</v>
      </c>
      <c r="D110" s="78" t="s">
        <v>293</v>
      </c>
      <c r="E110" s="78"/>
      <c r="F110" s="3" t="s">
        <v>209</v>
      </c>
      <c r="G110" s="31">
        <f>'Stavební rozpočet'!G103</f>
        <v>6.84173</v>
      </c>
      <c r="H110" s="170">
        <v>0</v>
      </c>
      <c r="I110" s="31">
        <f>G110*H110</f>
        <v>0</v>
      </c>
      <c r="J110" s="31">
        <f>'Stavební rozpočet'!J103</f>
        <v>0.00083</v>
      </c>
      <c r="K110" s="31">
        <f>G110*J110</f>
        <v>0.0056786359</v>
      </c>
      <c r="L110" s="59" t="s">
        <v>125</v>
      </c>
      <c r="Z110" s="31">
        <f>IF(AQ110="5",BJ110,0)</f>
        <v>0</v>
      </c>
      <c r="AB110" s="31">
        <f>IF(AQ110="1",BH110,0)</f>
        <v>0</v>
      </c>
      <c r="AC110" s="31">
        <f>IF(AQ110="1",BI110,0)</f>
        <v>0</v>
      </c>
      <c r="AD110" s="31">
        <f>IF(AQ110="7",BH110,0)</f>
        <v>0</v>
      </c>
      <c r="AE110" s="31">
        <f>IF(AQ110="7",BI110,0)</f>
        <v>0</v>
      </c>
      <c r="AF110" s="31">
        <f>IF(AQ110="2",BH110,0)</f>
        <v>0</v>
      </c>
      <c r="AG110" s="31">
        <f>IF(AQ110="2",BI110,0)</f>
        <v>0</v>
      </c>
      <c r="AH110" s="31">
        <f>IF(AQ110="0",BJ110,0)</f>
        <v>0</v>
      </c>
      <c r="AI110" s="42" t="s">
        <v>85</v>
      </c>
      <c r="AJ110" s="31">
        <f>IF(AN110=0,I110,0)</f>
        <v>0</v>
      </c>
      <c r="AK110" s="31">
        <f>IF(AN110=12,I110,0)</f>
        <v>0</v>
      </c>
      <c r="AL110" s="31">
        <f>IF(AN110=21,I110,0)</f>
        <v>0</v>
      </c>
      <c r="AN110" s="31">
        <v>21</v>
      </c>
      <c r="AO110" s="31">
        <f>H110*1</f>
        <v>0</v>
      </c>
      <c r="AP110" s="31">
        <f>H110*(1-1)</f>
        <v>0</v>
      </c>
      <c r="AQ110" s="32" t="s">
        <v>154</v>
      </c>
      <c r="AV110" s="31">
        <f>AW110+AX110</f>
        <v>0</v>
      </c>
      <c r="AW110" s="31">
        <f>G110*AO110</f>
        <v>0</v>
      </c>
      <c r="AX110" s="31">
        <f>G110*AP110</f>
        <v>0</v>
      </c>
      <c r="AY110" s="32" t="s">
        <v>210</v>
      </c>
      <c r="AZ110" s="32" t="s">
        <v>211</v>
      </c>
      <c r="BA110" s="42" t="s">
        <v>128</v>
      </c>
      <c r="BC110" s="31">
        <f>AW110+AX110</f>
        <v>0</v>
      </c>
      <c r="BD110" s="31">
        <f>H110/(100-BE110)*100</f>
        <v>0</v>
      </c>
      <c r="BE110" s="31">
        <v>0</v>
      </c>
      <c r="BF110" s="31">
        <f>K110</f>
        <v>0.0056786359</v>
      </c>
      <c r="BH110" s="31">
        <f>G110*AO110</f>
        <v>0</v>
      </c>
      <c r="BI110" s="31">
        <f>G110*AP110</f>
        <v>0</v>
      </c>
      <c r="BJ110" s="31">
        <f>G110*H110</f>
        <v>0</v>
      </c>
      <c r="BK110" s="31"/>
      <c r="BL110" s="31">
        <v>762</v>
      </c>
      <c r="BW110" s="31">
        <v>21</v>
      </c>
    </row>
    <row r="111" spans="1:12" ht="15" customHeight="1">
      <c r="A111" s="60"/>
      <c r="D111" s="61" t="s">
        <v>294</v>
      </c>
      <c r="E111" s="62"/>
      <c r="G111" s="63">
        <v>5.701440000000001</v>
      </c>
      <c r="L111" s="64"/>
    </row>
    <row r="112" spans="1:12" ht="15" customHeight="1">
      <c r="A112" s="60"/>
      <c r="D112" s="61" t="s">
        <v>295</v>
      </c>
      <c r="E112" s="62"/>
      <c r="G112" s="63">
        <v>1.14029</v>
      </c>
      <c r="L112" s="64"/>
    </row>
    <row r="113" spans="1:75" ht="13.5" customHeight="1">
      <c r="A113" s="30" t="s">
        <v>296</v>
      </c>
      <c r="B113" s="3" t="s">
        <v>85</v>
      </c>
      <c r="C113" s="3" t="s">
        <v>297</v>
      </c>
      <c r="D113" s="78" t="s">
        <v>298</v>
      </c>
      <c r="E113" s="78"/>
      <c r="F113" s="3" t="s">
        <v>124</v>
      </c>
      <c r="G113" s="31">
        <f>'Stavební rozpočet'!G106</f>
        <v>1080.4</v>
      </c>
      <c r="H113" s="170">
        <v>0</v>
      </c>
      <c r="I113" s="31">
        <f>G113*H113</f>
        <v>0</v>
      </c>
      <c r="J113" s="31">
        <f>'Stavební rozpočet'!J106</f>
        <v>0</v>
      </c>
      <c r="K113" s="31">
        <f>G113*J113</f>
        <v>0</v>
      </c>
      <c r="L113" s="59" t="s">
        <v>125</v>
      </c>
      <c r="Z113" s="31">
        <f>IF(AQ113="5",BJ113,0)</f>
        <v>0</v>
      </c>
      <c r="AB113" s="31">
        <f>IF(AQ113="1",BH113,0)</f>
        <v>0</v>
      </c>
      <c r="AC113" s="31">
        <f>IF(AQ113="1",BI113,0)</f>
        <v>0</v>
      </c>
      <c r="AD113" s="31">
        <f>IF(AQ113="7",BH113,0)</f>
        <v>0</v>
      </c>
      <c r="AE113" s="31">
        <f>IF(AQ113="7",BI113,0)</f>
        <v>0</v>
      </c>
      <c r="AF113" s="31">
        <f>IF(AQ113="2",BH113,0)</f>
        <v>0</v>
      </c>
      <c r="AG113" s="31">
        <f>IF(AQ113="2",BI113,0)</f>
        <v>0</v>
      </c>
      <c r="AH113" s="31">
        <f>IF(AQ113="0",BJ113,0)</f>
        <v>0</v>
      </c>
      <c r="AI113" s="42" t="s">
        <v>85</v>
      </c>
      <c r="AJ113" s="31">
        <f>IF(AN113=0,I113,0)</f>
        <v>0</v>
      </c>
      <c r="AK113" s="31">
        <f>IF(AN113=12,I113,0)</f>
        <v>0</v>
      </c>
      <c r="AL113" s="31">
        <f>IF(AN113=21,I113,0)</f>
        <v>0</v>
      </c>
      <c r="AN113" s="31">
        <v>21</v>
      </c>
      <c r="AO113" s="31">
        <f>H113*0</f>
        <v>0</v>
      </c>
      <c r="AP113" s="31">
        <f>H113*(1-0)</f>
        <v>0</v>
      </c>
      <c r="AQ113" s="32" t="s">
        <v>154</v>
      </c>
      <c r="AV113" s="31">
        <f>AW113+AX113</f>
        <v>0</v>
      </c>
      <c r="AW113" s="31">
        <f>G113*AO113</f>
        <v>0</v>
      </c>
      <c r="AX113" s="31">
        <f>G113*AP113</f>
        <v>0</v>
      </c>
      <c r="AY113" s="32" t="s">
        <v>210</v>
      </c>
      <c r="AZ113" s="32" t="s">
        <v>211</v>
      </c>
      <c r="BA113" s="42" t="s">
        <v>128</v>
      </c>
      <c r="BC113" s="31">
        <f>AW113+AX113</f>
        <v>0</v>
      </c>
      <c r="BD113" s="31">
        <f>H113/(100-BE113)*100</f>
        <v>0</v>
      </c>
      <c r="BE113" s="31">
        <v>0</v>
      </c>
      <c r="BF113" s="31">
        <f>K113</f>
        <v>0</v>
      </c>
      <c r="BH113" s="31">
        <f>G113*AO113</f>
        <v>0</v>
      </c>
      <c r="BI113" s="31">
        <f>G113*AP113</f>
        <v>0</v>
      </c>
      <c r="BJ113" s="31">
        <f>G113*H113</f>
        <v>0</v>
      </c>
      <c r="BK113" s="31"/>
      <c r="BL113" s="31">
        <v>762</v>
      </c>
      <c r="BW113" s="31">
        <v>21</v>
      </c>
    </row>
    <row r="114" spans="1:12" ht="15" customHeight="1">
      <c r="A114" s="60"/>
      <c r="D114" s="61" t="s">
        <v>299</v>
      </c>
      <c r="E114" s="62"/>
      <c r="G114" s="63">
        <v>1070</v>
      </c>
      <c r="L114" s="64"/>
    </row>
    <row r="115" spans="1:12" ht="15" customHeight="1">
      <c r="A115" s="60"/>
      <c r="D115" s="61" t="s">
        <v>300</v>
      </c>
      <c r="E115" s="62"/>
      <c r="G115" s="63">
        <v>10.4</v>
      </c>
      <c r="L115" s="64"/>
    </row>
    <row r="116" spans="1:75" ht="13.5" customHeight="1">
      <c r="A116" s="30" t="s">
        <v>301</v>
      </c>
      <c r="B116" s="3" t="s">
        <v>85</v>
      </c>
      <c r="C116" s="3" t="s">
        <v>292</v>
      </c>
      <c r="D116" s="78" t="s">
        <v>293</v>
      </c>
      <c r="E116" s="78"/>
      <c r="F116" s="3" t="s">
        <v>209</v>
      </c>
      <c r="G116" s="31">
        <f>'Stavební rozpočet'!G109</f>
        <v>1.94472</v>
      </c>
      <c r="H116" s="170">
        <v>0</v>
      </c>
      <c r="I116" s="31">
        <f>G116*H116</f>
        <v>0</v>
      </c>
      <c r="J116" s="31">
        <f>'Stavební rozpočet'!J109</f>
        <v>0.00083</v>
      </c>
      <c r="K116" s="31">
        <f>G116*J116</f>
        <v>0.0016141176</v>
      </c>
      <c r="L116" s="59" t="s">
        <v>125</v>
      </c>
      <c r="Z116" s="31">
        <f>IF(AQ116="5",BJ116,0)</f>
        <v>0</v>
      </c>
      <c r="AB116" s="31">
        <f>IF(AQ116="1",BH116,0)</f>
        <v>0</v>
      </c>
      <c r="AC116" s="31">
        <f>IF(AQ116="1",BI116,0)</f>
        <v>0</v>
      </c>
      <c r="AD116" s="31">
        <f>IF(AQ116="7",BH116,0)</f>
        <v>0</v>
      </c>
      <c r="AE116" s="31">
        <f>IF(AQ116="7",BI116,0)</f>
        <v>0</v>
      </c>
      <c r="AF116" s="31">
        <f>IF(AQ116="2",BH116,0)</f>
        <v>0</v>
      </c>
      <c r="AG116" s="31">
        <f>IF(AQ116="2",BI116,0)</f>
        <v>0</v>
      </c>
      <c r="AH116" s="31">
        <f>IF(AQ116="0",BJ116,0)</f>
        <v>0</v>
      </c>
      <c r="AI116" s="42" t="s">
        <v>85</v>
      </c>
      <c r="AJ116" s="31">
        <f>IF(AN116=0,I116,0)</f>
        <v>0</v>
      </c>
      <c r="AK116" s="31">
        <f>IF(AN116=12,I116,0)</f>
        <v>0</v>
      </c>
      <c r="AL116" s="31">
        <f>IF(AN116=21,I116,0)</f>
        <v>0</v>
      </c>
      <c r="AN116" s="31">
        <v>21</v>
      </c>
      <c r="AO116" s="31">
        <f>H116*1</f>
        <v>0</v>
      </c>
      <c r="AP116" s="31">
        <f>H116*(1-1)</f>
        <v>0</v>
      </c>
      <c r="AQ116" s="32" t="s">
        <v>154</v>
      </c>
      <c r="AV116" s="31">
        <f>AW116+AX116</f>
        <v>0</v>
      </c>
      <c r="AW116" s="31">
        <f>G116*AO116</f>
        <v>0</v>
      </c>
      <c r="AX116" s="31">
        <f>G116*AP116</f>
        <v>0</v>
      </c>
      <c r="AY116" s="32" t="s">
        <v>210</v>
      </c>
      <c r="AZ116" s="32" t="s">
        <v>211</v>
      </c>
      <c r="BA116" s="42" t="s">
        <v>128</v>
      </c>
      <c r="BC116" s="31">
        <f>AW116+AX116</f>
        <v>0</v>
      </c>
      <c r="BD116" s="31">
        <f>H116/(100-BE116)*100</f>
        <v>0</v>
      </c>
      <c r="BE116" s="31">
        <v>0</v>
      </c>
      <c r="BF116" s="31">
        <f>K116</f>
        <v>0.0016141176</v>
      </c>
      <c r="BH116" s="31">
        <f>G116*AO116</f>
        <v>0</v>
      </c>
      <c r="BI116" s="31">
        <f>G116*AP116</f>
        <v>0</v>
      </c>
      <c r="BJ116" s="31">
        <f>G116*H116</f>
        <v>0</v>
      </c>
      <c r="BK116" s="31"/>
      <c r="BL116" s="31">
        <v>762</v>
      </c>
      <c r="BW116" s="31">
        <v>21</v>
      </c>
    </row>
    <row r="117" spans="1:12" ht="15" customHeight="1">
      <c r="A117" s="60"/>
      <c r="D117" s="61" t="s">
        <v>302</v>
      </c>
      <c r="E117" s="62"/>
      <c r="G117" s="63">
        <v>1.6206</v>
      </c>
      <c r="L117" s="64"/>
    </row>
    <row r="118" spans="1:12" ht="15" customHeight="1">
      <c r="A118" s="60"/>
      <c r="D118" s="61" t="s">
        <v>303</v>
      </c>
      <c r="E118" s="62"/>
      <c r="G118" s="63">
        <v>0.32412</v>
      </c>
      <c r="L118" s="64"/>
    </row>
    <row r="119" spans="1:75" ht="13.5" customHeight="1">
      <c r="A119" s="30" t="s">
        <v>304</v>
      </c>
      <c r="B119" s="3" t="s">
        <v>85</v>
      </c>
      <c r="C119" s="3" t="s">
        <v>305</v>
      </c>
      <c r="D119" s="78" t="s">
        <v>306</v>
      </c>
      <c r="E119" s="78"/>
      <c r="F119" s="3" t="s">
        <v>241</v>
      </c>
      <c r="G119" s="31">
        <f>'Stavební rozpočet'!G112</f>
        <v>25.623</v>
      </c>
      <c r="H119" s="170">
        <v>0</v>
      </c>
      <c r="I119" s="31">
        <f>G119*H119</f>
        <v>0</v>
      </c>
      <c r="J119" s="31">
        <f>'Stavební rozpočet'!J112</f>
        <v>0.02357</v>
      </c>
      <c r="K119" s="31">
        <f>G119*J119</f>
        <v>0.6039341100000001</v>
      </c>
      <c r="L119" s="59" t="s">
        <v>125</v>
      </c>
      <c r="Z119" s="31">
        <f>IF(AQ119="5",BJ119,0)</f>
        <v>0</v>
      </c>
      <c r="AB119" s="31">
        <f>IF(AQ119="1",BH119,0)</f>
        <v>0</v>
      </c>
      <c r="AC119" s="31">
        <f>IF(AQ119="1",BI119,0)</f>
        <v>0</v>
      </c>
      <c r="AD119" s="31">
        <f>IF(AQ119="7",BH119,0)</f>
        <v>0</v>
      </c>
      <c r="AE119" s="31">
        <f>IF(AQ119="7",BI119,0)</f>
        <v>0</v>
      </c>
      <c r="AF119" s="31">
        <f>IF(AQ119="2",BH119,0)</f>
        <v>0</v>
      </c>
      <c r="AG119" s="31">
        <f>IF(AQ119="2",BI119,0)</f>
        <v>0</v>
      </c>
      <c r="AH119" s="31">
        <f>IF(AQ119="0",BJ119,0)</f>
        <v>0</v>
      </c>
      <c r="AI119" s="42" t="s">
        <v>85</v>
      </c>
      <c r="AJ119" s="31">
        <f>IF(AN119=0,I119,0)</f>
        <v>0</v>
      </c>
      <c r="AK119" s="31">
        <f>IF(AN119=12,I119,0)</f>
        <v>0</v>
      </c>
      <c r="AL119" s="31">
        <f>IF(AN119=21,I119,0)</f>
        <v>0</v>
      </c>
      <c r="AN119" s="31">
        <v>21</v>
      </c>
      <c r="AO119" s="31">
        <f>H119*1.00000021936734</f>
        <v>0</v>
      </c>
      <c r="AP119" s="31">
        <f>H119*(1-1.00000021936734)</f>
        <v>0</v>
      </c>
      <c r="AQ119" s="32" t="s">
        <v>154</v>
      </c>
      <c r="AV119" s="31">
        <f>AW119+AX119</f>
        <v>0</v>
      </c>
      <c r="AW119" s="31">
        <f>G119*AO119</f>
        <v>0</v>
      </c>
      <c r="AX119" s="31">
        <f>G119*AP119</f>
        <v>0</v>
      </c>
      <c r="AY119" s="32" t="s">
        <v>210</v>
      </c>
      <c r="AZ119" s="32" t="s">
        <v>211</v>
      </c>
      <c r="BA119" s="42" t="s">
        <v>128</v>
      </c>
      <c r="BC119" s="31">
        <f>AW119+AX119</f>
        <v>0</v>
      </c>
      <c r="BD119" s="31">
        <f>H119/(100-BE119)*100</f>
        <v>0</v>
      </c>
      <c r="BE119" s="31">
        <v>0</v>
      </c>
      <c r="BF119" s="31">
        <f>K119</f>
        <v>0.6039341100000001</v>
      </c>
      <c r="BH119" s="31">
        <f>G119*AO119</f>
        <v>0</v>
      </c>
      <c r="BI119" s="31">
        <f>G119*AP119</f>
        <v>0</v>
      </c>
      <c r="BJ119" s="31">
        <f>G119*H119</f>
        <v>0</v>
      </c>
      <c r="BK119" s="31"/>
      <c r="BL119" s="31">
        <v>762</v>
      </c>
      <c r="BW119" s="31">
        <v>21</v>
      </c>
    </row>
    <row r="120" spans="1:12" ht="15" customHeight="1">
      <c r="A120" s="60"/>
      <c r="D120" s="61" t="s">
        <v>307</v>
      </c>
      <c r="E120" s="62"/>
      <c r="G120" s="63">
        <v>25.623</v>
      </c>
      <c r="L120" s="64"/>
    </row>
    <row r="121" spans="1:75" ht="13.5" customHeight="1">
      <c r="A121" s="30" t="s">
        <v>308</v>
      </c>
      <c r="B121" s="3" t="s">
        <v>85</v>
      </c>
      <c r="C121" s="3" t="s">
        <v>309</v>
      </c>
      <c r="D121" s="78" t="s">
        <v>310</v>
      </c>
      <c r="E121" s="78"/>
      <c r="F121" s="3" t="s">
        <v>124</v>
      </c>
      <c r="G121" s="31">
        <f>'Stavební rozpočet'!G114</f>
        <v>85</v>
      </c>
      <c r="H121" s="170">
        <v>0</v>
      </c>
      <c r="I121" s="31">
        <f>G121*H121</f>
        <v>0</v>
      </c>
      <c r="J121" s="31">
        <f>'Stavební rozpočet'!J114</f>
        <v>0.01782</v>
      </c>
      <c r="K121" s="31">
        <f>G121*J121</f>
        <v>1.5147</v>
      </c>
      <c r="L121" s="59" t="s">
        <v>125</v>
      </c>
      <c r="Z121" s="31">
        <f>IF(AQ121="5",BJ121,0)</f>
        <v>0</v>
      </c>
      <c r="AB121" s="31">
        <f>IF(AQ121="1",BH121,0)</f>
        <v>0</v>
      </c>
      <c r="AC121" s="31">
        <f>IF(AQ121="1",BI121,0)</f>
        <v>0</v>
      </c>
      <c r="AD121" s="31">
        <f>IF(AQ121="7",BH121,0)</f>
        <v>0</v>
      </c>
      <c r="AE121" s="31">
        <f>IF(AQ121="7",BI121,0)</f>
        <v>0</v>
      </c>
      <c r="AF121" s="31">
        <f>IF(AQ121="2",BH121,0)</f>
        <v>0</v>
      </c>
      <c r="AG121" s="31">
        <f>IF(AQ121="2",BI121,0)</f>
        <v>0</v>
      </c>
      <c r="AH121" s="31">
        <f>IF(AQ121="0",BJ121,0)</f>
        <v>0</v>
      </c>
      <c r="AI121" s="42" t="s">
        <v>85</v>
      </c>
      <c r="AJ121" s="31">
        <f>IF(AN121=0,I121,0)</f>
        <v>0</v>
      </c>
      <c r="AK121" s="31">
        <f>IF(AN121=12,I121,0)</f>
        <v>0</v>
      </c>
      <c r="AL121" s="31">
        <f>IF(AN121=21,I121,0)</f>
        <v>0</v>
      </c>
      <c r="AN121" s="31">
        <v>21</v>
      </c>
      <c r="AO121" s="31">
        <f>H121*0.572887032033733</f>
        <v>0</v>
      </c>
      <c r="AP121" s="31">
        <f>H121*(1-0.572887032033733)</f>
        <v>0</v>
      </c>
      <c r="AQ121" s="32" t="s">
        <v>154</v>
      </c>
      <c r="AV121" s="31">
        <f>AW121+AX121</f>
        <v>0</v>
      </c>
      <c r="AW121" s="31">
        <f>G121*AO121</f>
        <v>0</v>
      </c>
      <c r="AX121" s="31">
        <f>G121*AP121</f>
        <v>0</v>
      </c>
      <c r="AY121" s="32" t="s">
        <v>210</v>
      </c>
      <c r="AZ121" s="32" t="s">
        <v>211</v>
      </c>
      <c r="BA121" s="42" t="s">
        <v>128</v>
      </c>
      <c r="BC121" s="31">
        <f>AW121+AX121</f>
        <v>0</v>
      </c>
      <c r="BD121" s="31">
        <f>H121/(100-BE121)*100</f>
        <v>0</v>
      </c>
      <c r="BE121" s="31">
        <v>0</v>
      </c>
      <c r="BF121" s="31">
        <f>K121</f>
        <v>1.5147</v>
      </c>
      <c r="BH121" s="31">
        <f>G121*AO121</f>
        <v>0</v>
      </c>
      <c r="BI121" s="31">
        <f>G121*AP121</f>
        <v>0</v>
      </c>
      <c r="BJ121" s="31">
        <f>G121*H121</f>
        <v>0</v>
      </c>
      <c r="BK121" s="31"/>
      <c r="BL121" s="31">
        <v>762</v>
      </c>
      <c r="BW121" s="31">
        <v>21</v>
      </c>
    </row>
    <row r="122" spans="1:12" ht="27" customHeight="1">
      <c r="A122" s="60"/>
      <c r="D122" s="123" t="s">
        <v>311</v>
      </c>
      <c r="E122" s="123"/>
      <c r="F122" s="123"/>
      <c r="G122" s="123"/>
      <c r="H122" s="123"/>
      <c r="I122" s="123"/>
      <c r="J122" s="123"/>
      <c r="K122" s="123"/>
      <c r="L122" s="123"/>
    </row>
    <row r="123" spans="1:12" ht="15" customHeight="1">
      <c r="A123" s="60"/>
      <c r="D123" s="61" t="s">
        <v>312</v>
      </c>
      <c r="E123" s="62"/>
      <c r="G123" s="63">
        <v>85</v>
      </c>
      <c r="L123" s="64"/>
    </row>
    <row r="124" spans="1:75" ht="13.5" customHeight="1">
      <c r="A124" s="30" t="s">
        <v>313</v>
      </c>
      <c r="B124" s="3" t="s">
        <v>85</v>
      </c>
      <c r="C124" s="3" t="s">
        <v>314</v>
      </c>
      <c r="D124" s="78" t="s">
        <v>315</v>
      </c>
      <c r="E124" s="78"/>
      <c r="F124" s="3"/>
      <c r="G124" s="31">
        <f>'Stavební rozpočet'!G116</f>
        <v>85</v>
      </c>
      <c r="H124" s="170">
        <v>0</v>
      </c>
      <c r="I124" s="31">
        <f>G124*H124</f>
        <v>0</v>
      </c>
      <c r="J124" s="31">
        <f>'Stavební rozpočet'!J116</f>
        <v>0</v>
      </c>
      <c r="K124" s="31">
        <f>G124*J124</f>
        <v>0</v>
      </c>
      <c r="L124" s="59"/>
      <c r="Z124" s="31">
        <f>IF(AQ124="5",BJ124,0)</f>
        <v>0</v>
      </c>
      <c r="AB124" s="31">
        <f>IF(AQ124="1",BH124,0)</f>
        <v>0</v>
      </c>
      <c r="AC124" s="31">
        <f>IF(AQ124="1",BI124,0)</f>
        <v>0</v>
      </c>
      <c r="AD124" s="31">
        <f>IF(AQ124="7",BH124,0)</f>
        <v>0</v>
      </c>
      <c r="AE124" s="31">
        <f>IF(AQ124="7",BI124,0)</f>
        <v>0</v>
      </c>
      <c r="AF124" s="31">
        <f>IF(AQ124="2",BH124,0)</f>
        <v>0</v>
      </c>
      <c r="AG124" s="31">
        <f>IF(AQ124="2",BI124,0)</f>
        <v>0</v>
      </c>
      <c r="AH124" s="31">
        <f>IF(AQ124="0",BJ124,0)</f>
        <v>0</v>
      </c>
      <c r="AI124" s="42" t="s">
        <v>85</v>
      </c>
      <c r="AJ124" s="31">
        <f>IF(AN124=0,I124,0)</f>
        <v>0</v>
      </c>
      <c r="AK124" s="31">
        <f>IF(AN124=12,I124,0)</f>
        <v>0</v>
      </c>
      <c r="AL124" s="31">
        <f>IF(AN124=21,I124,0)</f>
        <v>0</v>
      </c>
      <c r="AN124" s="31">
        <v>21</v>
      </c>
      <c r="AO124" s="31">
        <f>H124*0</f>
        <v>0</v>
      </c>
      <c r="AP124" s="31">
        <f>H124*(1-0)</f>
        <v>0</v>
      </c>
      <c r="AQ124" s="32" t="s">
        <v>154</v>
      </c>
      <c r="AV124" s="31">
        <f>AW124+AX124</f>
        <v>0</v>
      </c>
      <c r="AW124" s="31">
        <f>G124*AO124</f>
        <v>0</v>
      </c>
      <c r="AX124" s="31">
        <f>G124*AP124</f>
        <v>0</v>
      </c>
      <c r="AY124" s="32" t="s">
        <v>210</v>
      </c>
      <c r="AZ124" s="32" t="s">
        <v>211</v>
      </c>
      <c r="BA124" s="42" t="s">
        <v>128</v>
      </c>
      <c r="BC124" s="31">
        <f>AW124+AX124</f>
        <v>0</v>
      </c>
      <c r="BD124" s="31">
        <f>H124/(100-BE124)*100</f>
        <v>0</v>
      </c>
      <c r="BE124" s="31">
        <v>0</v>
      </c>
      <c r="BF124" s="31">
        <f>K124</f>
        <v>0</v>
      </c>
      <c r="BH124" s="31">
        <f>G124*AO124</f>
        <v>0</v>
      </c>
      <c r="BI124" s="31">
        <f>G124*AP124</f>
        <v>0</v>
      </c>
      <c r="BJ124" s="31">
        <f>G124*H124</f>
        <v>0</v>
      </c>
      <c r="BK124" s="31"/>
      <c r="BL124" s="31">
        <v>762</v>
      </c>
      <c r="BW124" s="31">
        <v>21</v>
      </c>
    </row>
    <row r="125" spans="1:12" ht="15" customHeight="1">
      <c r="A125" s="60"/>
      <c r="D125" s="61" t="s">
        <v>312</v>
      </c>
      <c r="E125" s="62"/>
      <c r="G125" s="63">
        <v>85</v>
      </c>
      <c r="L125" s="64"/>
    </row>
    <row r="126" spans="1:75" ht="13.5" customHeight="1">
      <c r="A126" s="30" t="s">
        <v>316</v>
      </c>
      <c r="B126" s="3" t="s">
        <v>85</v>
      </c>
      <c r="C126" s="3" t="s">
        <v>317</v>
      </c>
      <c r="D126" s="78" t="s">
        <v>318</v>
      </c>
      <c r="E126" s="78"/>
      <c r="F126" s="3" t="s">
        <v>124</v>
      </c>
      <c r="G126" s="31">
        <f>'Stavební rozpočet'!G118</f>
        <v>46.916</v>
      </c>
      <c r="H126" s="170">
        <v>0</v>
      </c>
      <c r="I126" s="31">
        <f>G126*H126</f>
        <v>0</v>
      </c>
      <c r="J126" s="31">
        <f>'Stavební rozpočet'!J118</f>
        <v>0</v>
      </c>
      <c r="K126" s="31">
        <f>G126*J126</f>
        <v>0</v>
      </c>
      <c r="L126" s="59" t="s">
        <v>125</v>
      </c>
      <c r="Z126" s="31">
        <f>IF(AQ126="5",BJ126,0)</f>
        <v>0</v>
      </c>
      <c r="AB126" s="31">
        <f>IF(AQ126="1",BH126,0)</f>
        <v>0</v>
      </c>
      <c r="AC126" s="31">
        <f>IF(AQ126="1",BI126,0)</f>
        <v>0</v>
      </c>
      <c r="AD126" s="31">
        <f>IF(AQ126="7",BH126,0)</f>
        <v>0</v>
      </c>
      <c r="AE126" s="31">
        <f>IF(AQ126="7",BI126,0)</f>
        <v>0</v>
      </c>
      <c r="AF126" s="31">
        <f>IF(AQ126="2",BH126,0)</f>
        <v>0</v>
      </c>
      <c r="AG126" s="31">
        <f>IF(AQ126="2",BI126,0)</f>
        <v>0</v>
      </c>
      <c r="AH126" s="31">
        <f>IF(AQ126="0",BJ126,0)</f>
        <v>0</v>
      </c>
      <c r="AI126" s="42" t="s">
        <v>85</v>
      </c>
      <c r="AJ126" s="31">
        <f>IF(AN126=0,I126,0)</f>
        <v>0</v>
      </c>
      <c r="AK126" s="31">
        <f>IF(AN126=12,I126,0)</f>
        <v>0</v>
      </c>
      <c r="AL126" s="31">
        <f>IF(AN126=21,I126,0)</f>
        <v>0</v>
      </c>
      <c r="AN126" s="31">
        <v>21</v>
      </c>
      <c r="AO126" s="31">
        <f>H126*0</f>
        <v>0</v>
      </c>
      <c r="AP126" s="31">
        <f>H126*(1-0)</f>
        <v>0</v>
      </c>
      <c r="AQ126" s="32" t="s">
        <v>154</v>
      </c>
      <c r="AV126" s="31">
        <f>AW126+AX126</f>
        <v>0</v>
      </c>
      <c r="AW126" s="31">
        <f>G126*AO126</f>
        <v>0</v>
      </c>
      <c r="AX126" s="31">
        <f>G126*AP126</f>
        <v>0</v>
      </c>
      <c r="AY126" s="32" t="s">
        <v>210</v>
      </c>
      <c r="AZ126" s="32" t="s">
        <v>211</v>
      </c>
      <c r="BA126" s="42" t="s">
        <v>128</v>
      </c>
      <c r="BC126" s="31">
        <f>AW126+AX126</f>
        <v>0</v>
      </c>
      <c r="BD126" s="31">
        <f>H126/(100-BE126)*100</f>
        <v>0</v>
      </c>
      <c r="BE126" s="31">
        <v>0</v>
      </c>
      <c r="BF126" s="31">
        <f>K126</f>
        <v>0</v>
      </c>
      <c r="BH126" s="31">
        <f>G126*AO126</f>
        <v>0</v>
      </c>
      <c r="BI126" s="31">
        <f>G126*AP126</f>
        <v>0</v>
      </c>
      <c r="BJ126" s="31">
        <f>G126*H126</f>
        <v>0</v>
      </c>
      <c r="BK126" s="31"/>
      <c r="BL126" s="31">
        <v>762</v>
      </c>
      <c r="BW126" s="31">
        <v>21</v>
      </c>
    </row>
    <row r="127" spans="1:12" ht="15" customHeight="1">
      <c r="A127" s="60"/>
      <c r="D127" s="61" t="s">
        <v>233</v>
      </c>
      <c r="E127" s="62"/>
      <c r="G127" s="63">
        <v>34.416000000000004</v>
      </c>
      <c r="L127" s="64"/>
    </row>
    <row r="128" spans="1:12" ht="15" customHeight="1">
      <c r="A128" s="60"/>
      <c r="D128" s="61" t="s">
        <v>319</v>
      </c>
      <c r="E128" s="62"/>
      <c r="G128" s="63">
        <v>12.500000000000002</v>
      </c>
      <c r="L128" s="64"/>
    </row>
    <row r="129" spans="1:75" ht="13.5" customHeight="1">
      <c r="A129" s="30" t="s">
        <v>320</v>
      </c>
      <c r="B129" s="3" t="s">
        <v>85</v>
      </c>
      <c r="C129" s="3" t="s">
        <v>321</v>
      </c>
      <c r="D129" s="78" t="s">
        <v>322</v>
      </c>
      <c r="E129" s="78"/>
      <c r="F129" s="3" t="s">
        <v>124</v>
      </c>
      <c r="G129" s="31">
        <f>'Stavební rozpočet'!G121</f>
        <v>53.958</v>
      </c>
      <c r="H129" s="170">
        <v>0</v>
      </c>
      <c r="I129" s="31">
        <f>G129*H129</f>
        <v>0</v>
      </c>
      <c r="J129" s="31">
        <f>'Stavební rozpočet'!J121</f>
        <v>0.00625</v>
      </c>
      <c r="K129" s="31">
        <f>G129*J129</f>
        <v>0.3372375</v>
      </c>
      <c r="L129" s="59" t="s">
        <v>125</v>
      </c>
      <c r="Z129" s="31">
        <f>IF(AQ129="5",BJ129,0)</f>
        <v>0</v>
      </c>
      <c r="AB129" s="31">
        <f>IF(AQ129="1",BH129,0)</f>
        <v>0</v>
      </c>
      <c r="AC129" s="31">
        <f>IF(AQ129="1",BI129,0)</f>
        <v>0</v>
      </c>
      <c r="AD129" s="31">
        <f>IF(AQ129="7",BH129,0)</f>
        <v>0</v>
      </c>
      <c r="AE129" s="31">
        <f>IF(AQ129="7",BI129,0)</f>
        <v>0</v>
      </c>
      <c r="AF129" s="31">
        <f>IF(AQ129="2",BH129,0)</f>
        <v>0</v>
      </c>
      <c r="AG129" s="31">
        <f>IF(AQ129="2",BI129,0)</f>
        <v>0</v>
      </c>
      <c r="AH129" s="31">
        <f>IF(AQ129="0",BJ129,0)</f>
        <v>0</v>
      </c>
      <c r="AI129" s="42" t="s">
        <v>85</v>
      </c>
      <c r="AJ129" s="31">
        <f>IF(AN129=0,I129,0)</f>
        <v>0</v>
      </c>
      <c r="AK129" s="31">
        <f>IF(AN129=12,I129,0)</f>
        <v>0</v>
      </c>
      <c r="AL129" s="31">
        <f>IF(AN129=21,I129,0)</f>
        <v>0</v>
      </c>
      <c r="AN129" s="31">
        <v>21</v>
      </c>
      <c r="AO129" s="31">
        <f>H129*1</f>
        <v>0</v>
      </c>
      <c r="AP129" s="31">
        <f>H129*(1-1)</f>
        <v>0</v>
      </c>
      <c r="AQ129" s="32" t="s">
        <v>154</v>
      </c>
      <c r="AV129" s="31">
        <f>AW129+AX129</f>
        <v>0</v>
      </c>
      <c r="AW129" s="31">
        <f>G129*AO129</f>
        <v>0</v>
      </c>
      <c r="AX129" s="31">
        <f>G129*AP129</f>
        <v>0</v>
      </c>
      <c r="AY129" s="32" t="s">
        <v>210</v>
      </c>
      <c r="AZ129" s="32" t="s">
        <v>211</v>
      </c>
      <c r="BA129" s="42" t="s">
        <v>128</v>
      </c>
      <c r="BC129" s="31">
        <f>AW129+AX129</f>
        <v>0</v>
      </c>
      <c r="BD129" s="31">
        <f>H129/(100-BE129)*100</f>
        <v>0</v>
      </c>
      <c r="BE129" s="31">
        <v>0</v>
      </c>
      <c r="BF129" s="31">
        <f>K129</f>
        <v>0.3372375</v>
      </c>
      <c r="BH129" s="31">
        <f>G129*AO129</f>
        <v>0</v>
      </c>
      <c r="BI129" s="31">
        <f>G129*AP129</f>
        <v>0</v>
      </c>
      <c r="BJ129" s="31">
        <f>G129*H129</f>
        <v>0</v>
      </c>
      <c r="BK129" s="31"/>
      <c r="BL129" s="31">
        <v>762</v>
      </c>
      <c r="BW129" s="31">
        <v>21</v>
      </c>
    </row>
    <row r="130" spans="1:12" ht="15" customHeight="1">
      <c r="A130" s="60"/>
      <c r="D130" s="61" t="s">
        <v>323</v>
      </c>
      <c r="E130" s="62"/>
      <c r="G130" s="63">
        <v>46.92</v>
      </c>
      <c r="L130" s="64"/>
    </row>
    <row r="131" spans="1:12" ht="15" customHeight="1">
      <c r="A131" s="60"/>
      <c r="D131" s="61" t="s">
        <v>324</v>
      </c>
      <c r="E131" s="62"/>
      <c r="G131" s="63">
        <v>7.038</v>
      </c>
      <c r="L131" s="64"/>
    </row>
    <row r="132" spans="1:75" ht="13.5" customHeight="1">
      <c r="A132" s="30" t="s">
        <v>325</v>
      </c>
      <c r="B132" s="3" t="s">
        <v>85</v>
      </c>
      <c r="C132" s="3" t="s">
        <v>326</v>
      </c>
      <c r="D132" s="78" t="s">
        <v>327</v>
      </c>
      <c r="E132" s="78"/>
      <c r="F132" s="3" t="s">
        <v>124</v>
      </c>
      <c r="G132" s="31">
        <f>'Stavební rozpočet'!G124</f>
        <v>18.9</v>
      </c>
      <c r="H132" s="170">
        <v>0</v>
      </c>
      <c r="I132" s="31">
        <f>G132*H132</f>
        <v>0</v>
      </c>
      <c r="J132" s="31">
        <f>'Stavební rozpočet'!J124</f>
        <v>0.01452</v>
      </c>
      <c r="K132" s="31">
        <f>G132*J132</f>
        <v>0.274428</v>
      </c>
      <c r="L132" s="59" t="s">
        <v>125</v>
      </c>
      <c r="Z132" s="31">
        <f>IF(AQ132="5",BJ132,0)</f>
        <v>0</v>
      </c>
      <c r="AB132" s="31">
        <f>IF(AQ132="1",BH132,0)</f>
        <v>0</v>
      </c>
      <c r="AC132" s="31">
        <f>IF(AQ132="1",BI132,0)</f>
        <v>0</v>
      </c>
      <c r="AD132" s="31">
        <f>IF(AQ132="7",BH132,0)</f>
        <v>0</v>
      </c>
      <c r="AE132" s="31">
        <f>IF(AQ132="7",BI132,0)</f>
        <v>0</v>
      </c>
      <c r="AF132" s="31">
        <f>IF(AQ132="2",BH132,0)</f>
        <v>0</v>
      </c>
      <c r="AG132" s="31">
        <f>IF(AQ132="2",BI132,0)</f>
        <v>0</v>
      </c>
      <c r="AH132" s="31">
        <f>IF(AQ132="0",BJ132,0)</f>
        <v>0</v>
      </c>
      <c r="AI132" s="42" t="s">
        <v>85</v>
      </c>
      <c r="AJ132" s="31">
        <f>IF(AN132=0,I132,0)</f>
        <v>0</v>
      </c>
      <c r="AK132" s="31">
        <f>IF(AN132=12,I132,0)</f>
        <v>0</v>
      </c>
      <c r="AL132" s="31">
        <f>IF(AN132=21,I132,0)</f>
        <v>0</v>
      </c>
      <c r="AN132" s="31">
        <v>21</v>
      </c>
      <c r="AO132" s="31">
        <f>H132*0.55224424561762</f>
        <v>0</v>
      </c>
      <c r="AP132" s="31">
        <f>H132*(1-0.55224424561762)</f>
        <v>0</v>
      </c>
      <c r="AQ132" s="32" t="s">
        <v>154</v>
      </c>
      <c r="AV132" s="31">
        <f>AW132+AX132</f>
        <v>0</v>
      </c>
      <c r="AW132" s="31">
        <f>G132*AO132</f>
        <v>0</v>
      </c>
      <c r="AX132" s="31">
        <f>G132*AP132</f>
        <v>0</v>
      </c>
      <c r="AY132" s="32" t="s">
        <v>210</v>
      </c>
      <c r="AZ132" s="32" t="s">
        <v>211</v>
      </c>
      <c r="BA132" s="42" t="s">
        <v>128</v>
      </c>
      <c r="BC132" s="31">
        <f>AW132+AX132</f>
        <v>0</v>
      </c>
      <c r="BD132" s="31">
        <f>H132/(100-BE132)*100</f>
        <v>0</v>
      </c>
      <c r="BE132" s="31">
        <v>0</v>
      </c>
      <c r="BF132" s="31">
        <f>K132</f>
        <v>0.274428</v>
      </c>
      <c r="BH132" s="31">
        <f>G132*AO132</f>
        <v>0</v>
      </c>
      <c r="BI132" s="31">
        <f>G132*AP132</f>
        <v>0</v>
      </c>
      <c r="BJ132" s="31">
        <f>G132*H132</f>
        <v>0</v>
      </c>
      <c r="BK132" s="31"/>
      <c r="BL132" s="31">
        <v>762</v>
      </c>
      <c r="BW132" s="31">
        <v>21</v>
      </c>
    </row>
    <row r="133" spans="1:12" ht="13.5" customHeight="1">
      <c r="A133" s="60"/>
      <c r="D133" s="123" t="s">
        <v>328</v>
      </c>
      <c r="E133" s="123"/>
      <c r="F133" s="123"/>
      <c r="G133" s="123"/>
      <c r="H133" s="123"/>
      <c r="I133" s="123"/>
      <c r="J133" s="123"/>
      <c r="K133" s="123"/>
      <c r="L133" s="123"/>
    </row>
    <row r="134" spans="1:12" ht="15" customHeight="1">
      <c r="A134" s="60"/>
      <c r="D134" s="61" t="s">
        <v>329</v>
      </c>
      <c r="E134" s="62"/>
      <c r="G134" s="63">
        <v>18.900000000000002</v>
      </c>
      <c r="L134" s="64"/>
    </row>
    <row r="135" spans="1:75" ht="13.5" customHeight="1">
      <c r="A135" s="30" t="s">
        <v>330</v>
      </c>
      <c r="B135" s="3" t="s">
        <v>85</v>
      </c>
      <c r="C135" s="3" t="s">
        <v>331</v>
      </c>
      <c r="D135" s="78" t="s">
        <v>332</v>
      </c>
      <c r="E135" s="78"/>
      <c r="F135" s="3" t="s">
        <v>61</v>
      </c>
      <c r="G135" s="31">
        <f>'Stavební rozpočet'!G126</f>
        <v>6129.1435</v>
      </c>
      <c r="H135" s="170">
        <v>0</v>
      </c>
      <c r="I135" s="31">
        <f>G135*H135</f>
        <v>0</v>
      </c>
      <c r="J135" s="31">
        <f>'Stavební rozpočet'!J126</f>
        <v>0</v>
      </c>
      <c r="K135" s="31">
        <f>G135*J135</f>
        <v>0</v>
      </c>
      <c r="L135" s="59" t="s">
        <v>125</v>
      </c>
      <c r="Z135" s="31">
        <f>IF(AQ135="5",BJ135,0)</f>
        <v>0</v>
      </c>
      <c r="AB135" s="31">
        <f>IF(AQ135="1",BH135,0)</f>
        <v>0</v>
      </c>
      <c r="AC135" s="31">
        <f>IF(AQ135="1",BI135,0)</f>
        <v>0</v>
      </c>
      <c r="AD135" s="31">
        <f>IF(AQ135="7",BH135,0)</f>
        <v>0</v>
      </c>
      <c r="AE135" s="31">
        <f>IF(AQ135="7",BI135,0)</f>
        <v>0</v>
      </c>
      <c r="AF135" s="31">
        <f>IF(AQ135="2",BH135,0)</f>
        <v>0</v>
      </c>
      <c r="AG135" s="31">
        <f>IF(AQ135="2",BI135,0)</f>
        <v>0</v>
      </c>
      <c r="AH135" s="31">
        <f>IF(AQ135="0",BJ135,0)</f>
        <v>0</v>
      </c>
      <c r="AI135" s="42" t="s">
        <v>85</v>
      </c>
      <c r="AJ135" s="31">
        <f>IF(AN135=0,I135,0)</f>
        <v>0</v>
      </c>
      <c r="AK135" s="31">
        <f>IF(AN135=12,I135,0)</f>
        <v>0</v>
      </c>
      <c r="AL135" s="31">
        <f>IF(AN135=21,I135,0)</f>
        <v>0</v>
      </c>
      <c r="AN135" s="31">
        <v>21</v>
      </c>
      <c r="AO135" s="31">
        <f>H135*0</f>
        <v>0</v>
      </c>
      <c r="AP135" s="31">
        <f>H135*(1-0)</f>
        <v>0</v>
      </c>
      <c r="AQ135" s="32" t="s">
        <v>146</v>
      </c>
      <c r="AV135" s="31">
        <f>AW135+AX135</f>
        <v>0</v>
      </c>
      <c r="AW135" s="31">
        <f>G135*AO135</f>
        <v>0</v>
      </c>
      <c r="AX135" s="31">
        <f>G135*AP135</f>
        <v>0</v>
      </c>
      <c r="AY135" s="32" t="s">
        <v>210</v>
      </c>
      <c r="AZ135" s="32" t="s">
        <v>211</v>
      </c>
      <c r="BA135" s="42" t="s">
        <v>128</v>
      </c>
      <c r="BC135" s="31">
        <f>AW135+AX135</f>
        <v>0</v>
      </c>
      <c r="BD135" s="31">
        <f>H135/(100-BE135)*100</f>
        <v>0</v>
      </c>
      <c r="BE135" s="31">
        <v>0</v>
      </c>
      <c r="BF135" s="31">
        <f>K135</f>
        <v>0</v>
      </c>
      <c r="BH135" s="31">
        <f>G135*AO135</f>
        <v>0</v>
      </c>
      <c r="BI135" s="31">
        <f>G135*AP135</f>
        <v>0</v>
      </c>
      <c r="BJ135" s="31">
        <f>G135*H135</f>
        <v>0</v>
      </c>
      <c r="BK135" s="31"/>
      <c r="BL135" s="31">
        <v>762</v>
      </c>
      <c r="BW135" s="31">
        <v>21</v>
      </c>
    </row>
    <row r="136" spans="1:12" ht="15" customHeight="1">
      <c r="A136" s="60"/>
      <c r="D136" s="61" t="s">
        <v>333</v>
      </c>
      <c r="E136" s="62"/>
      <c r="G136" s="63">
        <v>5329.69</v>
      </c>
      <c r="L136" s="64"/>
    </row>
    <row r="137" spans="1:12" ht="15" customHeight="1">
      <c r="A137" s="60"/>
      <c r="D137" s="61" t="s">
        <v>334</v>
      </c>
      <c r="E137" s="62"/>
      <c r="G137" s="63">
        <v>799.4535000000001</v>
      </c>
      <c r="L137" s="64"/>
    </row>
    <row r="138" spans="1:47" ht="15" customHeight="1">
      <c r="A138" s="55"/>
      <c r="B138" s="56" t="s">
        <v>85</v>
      </c>
      <c r="C138" s="56" t="s">
        <v>335</v>
      </c>
      <c r="D138" s="122" t="s">
        <v>336</v>
      </c>
      <c r="E138" s="122"/>
      <c r="F138" s="57" t="s">
        <v>79</v>
      </c>
      <c r="G138" s="57" t="s">
        <v>79</v>
      </c>
      <c r="H138" s="57" t="s">
        <v>79</v>
      </c>
      <c r="I138" s="36">
        <f>SUM(I139:I183)</f>
        <v>0</v>
      </c>
      <c r="J138" s="42"/>
      <c r="K138" s="36">
        <f>SUM(K139:K183)</f>
        <v>3.7227555999999997</v>
      </c>
      <c r="L138" s="58"/>
      <c r="AI138" s="42" t="s">
        <v>85</v>
      </c>
      <c r="AS138" s="36">
        <f>SUM(AJ139:AJ183)</f>
        <v>0</v>
      </c>
      <c r="AT138" s="36">
        <f>SUM(AK139:AK183)</f>
        <v>0</v>
      </c>
      <c r="AU138" s="36">
        <f>SUM(AL139:AL183)</f>
        <v>0</v>
      </c>
    </row>
    <row r="139" spans="1:75" ht="13.5" customHeight="1">
      <c r="A139" s="30" t="s">
        <v>337</v>
      </c>
      <c r="B139" s="3" t="s">
        <v>85</v>
      </c>
      <c r="C139" s="3" t="s">
        <v>338</v>
      </c>
      <c r="D139" s="78" t="s">
        <v>339</v>
      </c>
      <c r="E139" s="78"/>
      <c r="F139" s="3" t="s">
        <v>124</v>
      </c>
      <c r="G139" s="31">
        <f>'Stavební rozpočet'!G130</f>
        <v>17.2</v>
      </c>
      <c r="H139" s="170">
        <v>0</v>
      </c>
      <c r="I139" s="31">
        <f>G139*H139</f>
        <v>0</v>
      </c>
      <c r="J139" s="31">
        <f>'Stavební rozpočet'!J130</f>
        <v>0.00732</v>
      </c>
      <c r="K139" s="31">
        <f>G139*J139</f>
        <v>0.125904</v>
      </c>
      <c r="L139" s="59" t="s">
        <v>125</v>
      </c>
      <c r="Z139" s="31">
        <f>IF(AQ139="5",BJ139,0)</f>
        <v>0</v>
      </c>
      <c r="AB139" s="31">
        <f>IF(AQ139="1",BH139,0)</f>
        <v>0</v>
      </c>
      <c r="AC139" s="31">
        <f>IF(AQ139="1",BI139,0)</f>
        <v>0</v>
      </c>
      <c r="AD139" s="31">
        <f>IF(AQ139="7",BH139,0)</f>
        <v>0</v>
      </c>
      <c r="AE139" s="31">
        <f>IF(AQ139="7",BI139,0)</f>
        <v>0</v>
      </c>
      <c r="AF139" s="31">
        <f>IF(AQ139="2",BH139,0)</f>
        <v>0</v>
      </c>
      <c r="AG139" s="31">
        <f>IF(AQ139="2",BI139,0)</f>
        <v>0</v>
      </c>
      <c r="AH139" s="31">
        <f>IF(AQ139="0",BJ139,0)</f>
        <v>0</v>
      </c>
      <c r="AI139" s="42" t="s">
        <v>85</v>
      </c>
      <c r="AJ139" s="31">
        <f>IF(AN139=0,I139,0)</f>
        <v>0</v>
      </c>
      <c r="AK139" s="31">
        <f>IF(AN139=12,I139,0)</f>
        <v>0</v>
      </c>
      <c r="AL139" s="31">
        <f>IF(AN139=21,I139,0)</f>
        <v>0</v>
      </c>
      <c r="AN139" s="31">
        <v>21</v>
      </c>
      <c r="AO139" s="31">
        <f>H139*0</f>
        <v>0</v>
      </c>
      <c r="AP139" s="31">
        <f>H139*(1-0)</f>
        <v>0</v>
      </c>
      <c r="AQ139" s="32" t="s">
        <v>154</v>
      </c>
      <c r="AV139" s="31">
        <f>AW139+AX139</f>
        <v>0</v>
      </c>
      <c r="AW139" s="31">
        <f>G139*AO139</f>
        <v>0</v>
      </c>
      <c r="AX139" s="31">
        <f>G139*AP139</f>
        <v>0</v>
      </c>
      <c r="AY139" s="32" t="s">
        <v>340</v>
      </c>
      <c r="AZ139" s="32" t="s">
        <v>211</v>
      </c>
      <c r="BA139" s="42" t="s">
        <v>128</v>
      </c>
      <c r="BC139" s="31">
        <f>AW139+AX139</f>
        <v>0</v>
      </c>
      <c r="BD139" s="31">
        <f>H139/(100-BE139)*100</f>
        <v>0</v>
      </c>
      <c r="BE139" s="31">
        <v>0</v>
      </c>
      <c r="BF139" s="31">
        <f>K139</f>
        <v>0.125904</v>
      </c>
      <c r="BH139" s="31">
        <f>G139*AO139</f>
        <v>0</v>
      </c>
      <c r="BI139" s="31">
        <f>G139*AP139</f>
        <v>0</v>
      </c>
      <c r="BJ139" s="31">
        <f>G139*H139</f>
        <v>0</v>
      </c>
      <c r="BK139" s="31"/>
      <c r="BL139" s="31">
        <v>764</v>
      </c>
      <c r="BW139" s="31">
        <v>21</v>
      </c>
    </row>
    <row r="140" spans="1:12" ht="15" customHeight="1">
      <c r="A140" s="60"/>
      <c r="D140" s="61" t="s">
        <v>341</v>
      </c>
      <c r="E140" s="62"/>
      <c r="G140" s="63">
        <v>17.200000000000003</v>
      </c>
      <c r="L140" s="64"/>
    </row>
    <row r="141" spans="1:75" ht="13.5" customHeight="1">
      <c r="A141" s="30" t="s">
        <v>342</v>
      </c>
      <c r="B141" s="3" t="s">
        <v>85</v>
      </c>
      <c r="C141" s="3" t="s">
        <v>343</v>
      </c>
      <c r="D141" s="78" t="s">
        <v>344</v>
      </c>
      <c r="E141" s="78"/>
      <c r="F141" s="3" t="s">
        <v>209</v>
      </c>
      <c r="G141" s="31">
        <f>'Stavební rozpočet'!G132</f>
        <v>45.04</v>
      </c>
      <c r="H141" s="170">
        <v>0</v>
      </c>
      <c r="I141" s="31">
        <f>G141*H141</f>
        <v>0</v>
      </c>
      <c r="J141" s="31">
        <f>'Stavební rozpočet'!J132</f>
        <v>0.00307</v>
      </c>
      <c r="K141" s="31">
        <f>G141*J141</f>
        <v>0.1382728</v>
      </c>
      <c r="L141" s="59" t="s">
        <v>125</v>
      </c>
      <c r="Z141" s="31">
        <f>IF(AQ141="5",BJ141,0)</f>
        <v>0</v>
      </c>
      <c r="AB141" s="31">
        <f>IF(AQ141="1",BH141,0)</f>
        <v>0</v>
      </c>
      <c r="AC141" s="31">
        <f>IF(AQ141="1",BI141,0)</f>
        <v>0</v>
      </c>
      <c r="AD141" s="31">
        <f>IF(AQ141="7",BH141,0)</f>
        <v>0</v>
      </c>
      <c r="AE141" s="31">
        <f>IF(AQ141="7",BI141,0)</f>
        <v>0</v>
      </c>
      <c r="AF141" s="31">
        <f>IF(AQ141="2",BH141,0)</f>
        <v>0</v>
      </c>
      <c r="AG141" s="31">
        <f>IF(AQ141="2",BI141,0)</f>
        <v>0</v>
      </c>
      <c r="AH141" s="31">
        <f>IF(AQ141="0",BJ141,0)</f>
        <v>0</v>
      </c>
      <c r="AI141" s="42" t="s">
        <v>85</v>
      </c>
      <c r="AJ141" s="31">
        <f>IF(AN141=0,I141,0)</f>
        <v>0</v>
      </c>
      <c r="AK141" s="31">
        <f>IF(AN141=12,I141,0)</f>
        <v>0</v>
      </c>
      <c r="AL141" s="31">
        <f>IF(AN141=21,I141,0)</f>
        <v>0</v>
      </c>
      <c r="AN141" s="31">
        <v>21</v>
      </c>
      <c r="AO141" s="31">
        <f>H141*0</f>
        <v>0</v>
      </c>
      <c r="AP141" s="31">
        <f>H141*(1-0)</f>
        <v>0</v>
      </c>
      <c r="AQ141" s="32" t="s">
        <v>154</v>
      </c>
      <c r="AV141" s="31">
        <f>AW141+AX141</f>
        <v>0</v>
      </c>
      <c r="AW141" s="31">
        <f>G141*AO141</f>
        <v>0</v>
      </c>
      <c r="AX141" s="31">
        <f>G141*AP141</f>
        <v>0</v>
      </c>
      <c r="AY141" s="32" t="s">
        <v>340</v>
      </c>
      <c r="AZ141" s="32" t="s">
        <v>211</v>
      </c>
      <c r="BA141" s="42" t="s">
        <v>128</v>
      </c>
      <c r="BC141" s="31">
        <f>AW141+AX141</f>
        <v>0</v>
      </c>
      <c r="BD141" s="31">
        <f>H141/(100-BE141)*100</f>
        <v>0</v>
      </c>
      <c r="BE141" s="31">
        <v>0</v>
      </c>
      <c r="BF141" s="31">
        <f>K141</f>
        <v>0.1382728</v>
      </c>
      <c r="BH141" s="31">
        <f>G141*AO141</f>
        <v>0</v>
      </c>
      <c r="BI141" s="31">
        <f>G141*AP141</f>
        <v>0</v>
      </c>
      <c r="BJ141" s="31">
        <f>G141*H141</f>
        <v>0</v>
      </c>
      <c r="BK141" s="31"/>
      <c r="BL141" s="31">
        <v>764</v>
      </c>
      <c r="BW141" s="31">
        <v>21</v>
      </c>
    </row>
    <row r="142" spans="1:12" ht="15" customHeight="1">
      <c r="A142" s="60"/>
      <c r="D142" s="61" t="s">
        <v>345</v>
      </c>
      <c r="E142" s="62"/>
      <c r="G142" s="63">
        <v>45.040000000000006</v>
      </c>
      <c r="L142" s="64"/>
    </row>
    <row r="143" spans="1:75" ht="13.5" customHeight="1">
      <c r="A143" s="30" t="s">
        <v>346</v>
      </c>
      <c r="B143" s="3" t="s">
        <v>85</v>
      </c>
      <c r="C143" s="3" t="s">
        <v>347</v>
      </c>
      <c r="D143" s="78" t="s">
        <v>348</v>
      </c>
      <c r="E143" s="78"/>
      <c r="F143" s="3" t="s">
        <v>349</v>
      </c>
      <c r="G143" s="31">
        <f>'Stavební rozpočet'!G134</f>
        <v>250</v>
      </c>
      <c r="H143" s="170">
        <v>0</v>
      </c>
      <c r="I143" s="31">
        <f>G143*H143</f>
        <v>0</v>
      </c>
      <c r="J143" s="31">
        <f>'Stavební rozpočet'!J134</f>
        <v>0.00416</v>
      </c>
      <c r="K143" s="31">
        <f>G143*J143</f>
        <v>1.0399999999999998</v>
      </c>
      <c r="L143" s="59" t="s">
        <v>125</v>
      </c>
      <c r="Z143" s="31">
        <f>IF(AQ143="5",BJ143,0)</f>
        <v>0</v>
      </c>
      <c r="AB143" s="31">
        <f>IF(AQ143="1",BH143,0)</f>
        <v>0</v>
      </c>
      <c r="AC143" s="31">
        <f>IF(AQ143="1",BI143,0)</f>
        <v>0</v>
      </c>
      <c r="AD143" s="31">
        <f>IF(AQ143="7",BH143,0)</f>
        <v>0</v>
      </c>
      <c r="AE143" s="31">
        <f>IF(AQ143="7",BI143,0)</f>
        <v>0</v>
      </c>
      <c r="AF143" s="31">
        <f>IF(AQ143="2",BH143,0)</f>
        <v>0</v>
      </c>
      <c r="AG143" s="31">
        <f>IF(AQ143="2",BI143,0)</f>
        <v>0</v>
      </c>
      <c r="AH143" s="31">
        <f>IF(AQ143="0",BJ143,0)</f>
        <v>0</v>
      </c>
      <c r="AI143" s="42" t="s">
        <v>85</v>
      </c>
      <c r="AJ143" s="31">
        <f>IF(AN143=0,I143,0)</f>
        <v>0</v>
      </c>
      <c r="AK143" s="31">
        <f>IF(AN143=12,I143,0)</f>
        <v>0</v>
      </c>
      <c r="AL143" s="31">
        <f>IF(AN143=21,I143,0)</f>
        <v>0</v>
      </c>
      <c r="AN143" s="31">
        <v>21</v>
      </c>
      <c r="AO143" s="31">
        <f>H143*0</f>
        <v>0</v>
      </c>
      <c r="AP143" s="31">
        <f>H143*(1-0)</f>
        <v>0</v>
      </c>
      <c r="AQ143" s="32" t="s">
        <v>154</v>
      </c>
      <c r="AV143" s="31">
        <f>AW143+AX143</f>
        <v>0</v>
      </c>
      <c r="AW143" s="31">
        <f>G143*AO143</f>
        <v>0</v>
      </c>
      <c r="AX143" s="31">
        <f>G143*AP143</f>
        <v>0</v>
      </c>
      <c r="AY143" s="32" t="s">
        <v>340</v>
      </c>
      <c r="AZ143" s="32" t="s">
        <v>211</v>
      </c>
      <c r="BA143" s="42" t="s">
        <v>128</v>
      </c>
      <c r="BC143" s="31">
        <f>AW143+AX143</f>
        <v>0</v>
      </c>
      <c r="BD143" s="31">
        <f>H143/(100-BE143)*100</f>
        <v>0</v>
      </c>
      <c r="BE143" s="31">
        <v>0</v>
      </c>
      <c r="BF143" s="31">
        <f>K143</f>
        <v>1.0399999999999998</v>
      </c>
      <c r="BH143" s="31">
        <f>G143*AO143</f>
        <v>0</v>
      </c>
      <c r="BI143" s="31">
        <f>G143*AP143</f>
        <v>0</v>
      </c>
      <c r="BJ143" s="31">
        <f>G143*H143</f>
        <v>0</v>
      </c>
      <c r="BK143" s="31"/>
      <c r="BL143" s="31">
        <v>764</v>
      </c>
      <c r="BW143" s="31">
        <v>21</v>
      </c>
    </row>
    <row r="144" spans="1:12" ht="15" customHeight="1">
      <c r="A144" s="60"/>
      <c r="D144" s="61" t="s">
        <v>350</v>
      </c>
      <c r="E144" s="62"/>
      <c r="G144" s="63">
        <v>250.00000000000003</v>
      </c>
      <c r="L144" s="64"/>
    </row>
    <row r="145" spans="1:75" ht="13.5" customHeight="1">
      <c r="A145" s="30" t="s">
        <v>351</v>
      </c>
      <c r="B145" s="3" t="s">
        <v>85</v>
      </c>
      <c r="C145" s="3" t="s">
        <v>352</v>
      </c>
      <c r="D145" s="78" t="s">
        <v>353</v>
      </c>
      <c r="E145" s="78"/>
      <c r="F145" s="3" t="s">
        <v>209</v>
      </c>
      <c r="G145" s="31">
        <f>'Stavební rozpočet'!G136</f>
        <v>123.69</v>
      </c>
      <c r="H145" s="170">
        <v>0</v>
      </c>
      <c r="I145" s="31">
        <f>G145*H145</f>
        <v>0</v>
      </c>
      <c r="J145" s="31">
        <f>'Stavební rozpočet'!J136</f>
        <v>0.00392</v>
      </c>
      <c r="K145" s="31">
        <f>G145*J145</f>
        <v>0.4848648</v>
      </c>
      <c r="L145" s="59" t="s">
        <v>125</v>
      </c>
      <c r="Z145" s="31">
        <f>IF(AQ145="5",BJ145,0)</f>
        <v>0</v>
      </c>
      <c r="AB145" s="31">
        <f>IF(AQ145="1",BH145,0)</f>
        <v>0</v>
      </c>
      <c r="AC145" s="31">
        <f>IF(AQ145="1",BI145,0)</f>
        <v>0</v>
      </c>
      <c r="AD145" s="31">
        <f>IF(AQ145="7",BH145,0)</f>
        <v>0</v>
      </c>
      <c r="AE145" s="31">
        <f>IF(AQ145="7",BI145,0)</f>
        <v>0</v>
      </c>
      <c r="AF145" s="31">
        <f>IF(AQ145="2",BH145,0)</f>
        <v>0</v>
      </c>
      <c r="AG145" s="31">
        <f>IF(AQ145="2",BI145,0)</f>
        <v>0</v>
      </c>
      <c r="AH145" s="31">
        <f>IF(AQ145="0",BJ145,0)</f>
        <v>0</v>
      </c>
      <c r="AI145" s="42" t="s">
        <v>85</v>
      </c>
      <c r="AJ145" s="31">
        <f>IF(AN145=0,I145,0)</f>
        <v>0</v>
      </c>
      <c r="AK145" s="31">
        <f>IF(AN145=12,I145,0)</f>
        <v>0</v>
      </c>
      <c r="AL145" s="31">
        <f>IF(AN145=21,I145,0)</f>
        <v>0</v>
      </c>
      <c r="AN145" s="31">
        <v>21</v>
      </c>
      <c r="AO145" s="31">
        <f>H145*0</f>
        <v>0</v>
      </c>
      <c r="AP145" s="31">
        <f>H145*(1-0)</f>
        <v>0</v>
      </c>
      <c r="AQ145" s="32" t="s">
        <v>154</v>
      </c>
      <c r="AV145" s="31">
        <f>AW145+AX145</f>
        <v>0</v>
      </c>
      <c r="AW145" s="31">
        <f>G145*AO145</f>
        <v>0</v>
      </c>
      <c r="AX145" s="31">
        <f>G145*AP145</f>
        <v>0</v>
      </c>
      <c r="AY145" s="32" t="s">
        <v>340</v>
      </c>
      <c r="AZ145" s="32" t="s">
        <v>211</v>
      </c>
      <c r="BA145" s="42" t="s">
        <v>128</v>
      </c>
      <c r="BC145" s="31">
        <f>AW145+AX145</f>
        <v>0</v>
      </c>
      <c r="BD145" s="31">
        <f>H145/(100-BE145)*100</f>
        <v>0</v>
      </c>
      <c r="BE145" s="31">
        <v>0</v>
      </c>
      <c r="BF145" s="31">
        <f>K145</f>
        <v>0.4848648</v>
      </c>
      <c r="BH145" s="31">
        <f>G145*AO145</f>
        <v>0</v>
      </c>
      <c r="BI145" s="31">
        <f>G145*AP145</f>
        <v>0</v>
      </c>
      <c r="BJ145" s="31">
        <f>G145*H145</f>
        <v>0</v>
      </c>
      <c r="BK145" s="31"/>
      <c r="BL145" s="31">
        <v>764</v>
      </c>
      <c r="BW145" s="31">
        <v>21</v>
      </c>
    </row>
    <row r="146" spans="1:12" ht="15" customHeight="1">
      <c r="A146" s="60"/>
      <c r="D146" s="61" t="s">
        <v>354</v>
      </c>
      <c r="E146" s="62"/>
      <c r="G146" s="63">
        <v>123.69000000000001</v>
      </c>
      <c r="L146" s="64"/>
    </row>
    <row r="147" spans="1:75" ht="13.5" customHeight="1">
      <c r="A147" s="30" t="s">
        <v>355</v>
      </c>
      <c r="B147" s="3" t="s">
        <v>85</v>
      </c>
      <c r="C147" s="3" t="s">
        <v>356</v>
      </c>
      <c r="D147" s="78" t="s">
        <v>357</v>
      </c>
      <c r="E147" s="78"/>
      <c r="F147" s="3" t="s">
        <v>209</v>
      </c>
      <c r="G147" s="31">
        <f>'Stavební rozpočet'!G138</f>
        <v>50.9</v>
      </c>
      <c r="H147" s="170">
        <v>0</v>
      </c>
      <c r="I147" s="31">
        <f>G147*H147</f>
        <v>0</v>
      </c>
      <c r="J147" s="31">
        <f>'Stavební rozpočet'!J138</f>
        <v>0.00285</v>
      </c>
      <c r="K147" s="31">
        <f>G147*J147</f>
        <v>0.145065</v>
      </c>
      <c r="L147" s="59" t="s">
        <v>125</v>
      </c>
      <c r="Z147" s="31">
        <f>IF(AQ147="5",BJ147,0)</f>
        <v>0</v>
      </c>
      <c r="AB147" s="31">
        <f>IF(AQ147="1",BH147,0)</f>
        <v>0</v>
      </c>
      <c r="AC147" s="31">
        <f>IF(AQ147="1",BI147,0)</f>
        <v>0</v>
      </c>
      <c r="AD147" s="31">
        <f>IF(AQ147="7",BH147,0)</f>
        <v>0</v>
      </c>
      <c r="AE147" s="31">
        <f>IF(AQ147="7",BI147,0)</f>
        <v>0</v>
      </c>
      <c r="AF147" s="31">
        <f>IF(AQ147="2",BH147,0)</f>
        <v>0</v>
      </c>
      <c r="AG147" s="31">
        <f>IF(AQ147="2",BI147,0)</f>
        <v>0</v>
      </c>
      <c r="AH147" s="31">
        <f>IF(AQ147="0",BJ147,0)</f>
        <v>0</v>
      </c>
      <c r="AI147" s="42" t="s">
        <v>85</v>
      </c>
      <c r="AJ147" s="31">
        <f>IF(AN147=0,I147,0)</f>
        <v>0</v>
      </c>
      <c r="AK147" s="31">
        <f>IF(AN147=12,I147,0)</f>
        <v>0</v>
      </c>
      <c r="AL147" s="31">
        <f>IF(AN147=21,I147,0)</f>
        <v>0</v>
      </c>
      <c r="AN147" s="31">
        <v>21</v>
      </c>
      <c r="AO147" s="31">
        <f>H147*0</f>
        <v>0</v>
      </c>
      <c r="AP147" s="31">
        <f>H147*(1-0)</f>
        <v>0</v>
      </c>
      <c r="AQ147" s="32" t="s">
        <v>154</v>
      </c>
      <c r="AV147" s="31">
        <f>AW147+AX147</f>
        <v>0</v>
      </c>
      <c r="AW147" s="31">
        <f>G147*AO147</f>
        <v>0</v>
      </c>
      <c r="AX147" s="31">
        <f>G147*AP147</f>
        <v>0</v>
      </c>
      <c r="AY147" s="32" t="s">
        <v>340</v>
      </c>
      <c r="AZ147" s="32" t="s">
        <v>211</v>
      </c>
      <c r="BA147" s="42" t="s">
        <v>128</v>
      </c>
      <c r="BC147" s="31">
        <f>AW147+AX147</f>
        <v>0</v>
      </c>
      <c r="BD147" s="31">
        <f>H147/(100-BE147)*100</f>
        <v>0</v>
      </c>
      <c r="BE147" s="31">
        <v>0</v>
      </c>
      <c r="BF147" s="31">
        <f>K147</f>
        <v>0.145065</v>
      </c>
      <c r="BH147" s="31">
        <f>G147*AO147</f>
        <v>0</v>
      </c>
      <c r="BI147" s="31">
        <f>G147*AP147</f>
        <v>0</v>
      </c>
      <c r="BJ147" s="31">
        <f>G147*H147</f>
        <v>0</v>
      </c>
      <c r="BK147" s="31"/>
      <c r="BL147" s="31">
        <v>764</v>
      </c>
      <c r="BW147" s="31">
        <v>21</v>
      </c>
    </row>
    <row r="148" spans="1:12" ht="15" customHeight="1">
      <c r="A148" s="60"/>
      <c r="D148" s="61" t="s">
        <v>358</v>
      </c>
      <c r="E148" s="62"/>
      <c r="G148" s="63">
        <v>50.900000000000006</v>
      </c>
      <c r="L148" s="64"/>
    </row>
    <row r="149" spans="1:75" ht="13.5" customHeight="1">
      <c r="A149" s="30" t="s">
        <v>359</v>
      </c>
      <c r="B149" s="3" t="s">
        <v>85</v>
      </c>
      <c r="C149" s="3" t="s">
        <v>360</v>
      </c>
      <c r="D149" s="78" t="s">
        <v>361</v>
      </c>
      <c r="E149" s="78"/>
      <c r="F149" s="3" t="s">
        <v>209</v>
      </c>
      <c r="G149" s="31">
        <f>'Stavební rozpočet'!G140</f>
        <v>8</v>
      </c>
      <c r="H149" s="170">
        <v>0</v>
      </c>
      <c r="I149" s="31">
        <f>G149*H149</f>
        <v>0</v>
      </c>
      <c r="J149" s="31">
        <f>'Stavební rozpočet'!J140</f>
        <v>0.00263</v>
      </c>
      <c r="K149" s="31">
        <f>G149*J149</f>
        <v>0.02104</v>
      </c>
      <c r="L149" s="59" t="s">
        <v>125</v>
      </c>
      <c r="Z149" s="31">
        <f>IF(AQ149="5",BJ149,0)</f>
        <v>0</v>
      </c>
      <c r="AB149" s="31">
        <f>IF(AQ149="1",BH149,0)</f>
        <v>0</v>
      </c>
      <c r="AC149" s="31">
        <f>IF(AQ149="1",BI149,0)</f>
        <v>0</v>
      </c>
      <c r="AD149" s="31">
        <f>IF(AQ149="7",BH149,0)</f>
        <v>0</v>
      </c>
      <c r="AE149" s="31">
        <f>IF(AQ149="7",BI149,0)</f>
        <v>0</v>
      </c>
      <c r="AF149" s="31">
        <f>IF(AQ149="2",BH149,0)</f>
        <v>0</v>
      </c>
      <c r="AG149" s="31">
        <f>IF(AQ149="2",BI149,0)</f>
        <v>0</v>
      </c>
      <c r="AH149" s="31">
        <f>IF(AQ149="0",BJ149,0)</f>
        <v>0</v>
      </c>
      <c r="AI149" s="42" t="s">
        <v>85</v>
      </c>
      <c r="AJ149" s="31">
        <f>IF(AN149=0,I149,0)</f>
        <v>0</v>
      </c>
      <c r="AK149" s="31">
        <f>IF(AN149=12,I149,0)</f>
        <v>0</v>
      </c>
      <c r="AL149" s="31">
        <f>IF(AN149=21,I149,0)</f>
        <v>0</v>
      </c>
      <c r="AN149" s="31">
        <v>21</v>
      </c>
      <c r="AO149" s="31">
        <f>H149*0.706460017969452</f>
        <v>0</v>
      </c>
      <c r="AP149" s="31">
        <f>H149*(1-0.706460017969452)</f>
        <v>0</v>
      </c>
      <c r="AQ149" s="32" t="s">
        <v>154</v>
      </c>
      <c r="AV149" s="31">
        <f>AW149+AX149</f>
        <v>0</v>
      </c>
      <c r="AW149" s="31">
        <f>G149*AO149</f>
        <v>0</v>
      </c>
      <c r="AX149" s="31">
        <f>G149*AP149</f>
        <v>0</v>
      </c>
      <c r="AY149" s="32" t="s">
        <v>340</v>
      </c>
      <c r="AZ149" s="32" t="s">
        <v>211</v>
      </c>
      <c r="BA149" s="42" t="s">
        <v>128</v>
      </c>
      <c r="BC149" s="31">
        <f>AW149+AX149</f>
        <v>0</v>
      </c>
      <c r="BD149" s="31">
        <f>H149/(100-BE149)*100</f>
        <v>0</v>
      </c>
      <c r="BE149" s="31">
        <v>0</v>
      </c>
      <c r="BF149" s="31">
        <f>K149</f>
        <v>0.02104</v>
      </c>
      <c r="BH149" s="31">
        <f>G149*AO149</f>
        <v>0</v>
      </c>
      <c r="BI149" s="31">
        <f>G149*AP149</f>
        <v>0</v>
      </c>
      <c r="BJ149" s="31">
        <f>G149*H149</f>
        <v>0</v>
      </c>
      <c r="BK149" s="31"/>
      <c r="BL149" s="31">
        <v>764</v>
      </c>
      <c r="BW149" s="31">
        <v>21</v>
      </c>
    </row>
    <row r="150" spans="1:12" ht="15" customHeight="1">
      <c r="A150" s="60"/>
      <c r="D150" s="61" t="s">
        <v>362</v>
      </c>
      <c r="E150" s="62"/>
      <c r="G150" s="63">
        <v>8</v>
      </c>
      <c r="L150" s="64"/>
    </row>
    <row r="151" spans="1:75" ht="13.5" customHeight="1">
      <c r="A151" s="30" t="s">
        <v>363</v>
      </c>
      <c r="B151" s="3" t="s">
        <v>85</v>
      </c>
      <c r="C151" s="3" t="s">
        <v>364</v>
      </c>
      <c r="D151" s="78" t="s">
        <v>365</v>
      </c>
      <c r="E151" s="78"/>
      <c r="F151" s="3" t="s">
        <v>209</v>
      </c>
      <c r="G151" s="31">
        <f>'Stavební rozpočet'!G142</f>
        <v>11.01</v>
      </c>
      <c r="H151" s="170">
        <v>0</v>
      </c>
      <c r="I151" s="31">
        <f>G151*H151</f>
        <v>0</v>
      </c>
      <c r="J151" s="31">
        <f>'Stavební rozpočet'!J142</f>
        <v>0.00146</v>
      </c>
      <c r="K151" s="31">
        <f>G151*J151</f>
        <v>0.016074599999999998</v>
      </c>
      <c r="L151" s="59" t="s">
        <v>125</v>
      </c>
      <c r="Z151" s="31">
        <f>IF(AQ151="5",BJ151,0)</f>
        <v>0</v>
      </c>
      <c r="AB151" s="31">
        <f>IF(AQ151="1",BH151,0)</f>
        <v>0</v>
      </c>
      <c r="AC151" s="31">
        <f>IF(AQ151="1",BI151,0)</f>
        <v>0</v>
      </c>
      <c r="AD151" s="31">
        <f>IF(AQ151="7",BH151,0)</f>
        <v>0</v>
      </c>
      <c r="AE151" s="31">
        <f>IF(AQ151="7",BI151,0)</f>
        <v>0</v>
      </c>
      <c r="AF151" s="31">
        <f>IF(AQ151="2",BH151,0)</f>
        <v>0</v>
      </c>
      <c r="AG151" s="31">
        <f>IF(AQ151="2",BI151,0)</f>
        <v>0</v>
      </c>
      <c r="AH151" s="31">
        <f>IF(AQ151="0",BJ151,0)</f>
        <v>0</v>
      </c>
      <c r="AI151" s="42" t="s">
        <v>85</v>
      </c>
      <c r="AJ151" s="31">
        <f>IF(AN151=0,I151,0)</f>
        <v>0</v>
      </c>
      <c r="AK151" s="31">
        <f>IF(AN151=12,I151,0)</f>
        <v>0</v>
      </c>
      <c r="AL151" s="31">
        <f>IF(AN151=21,I151,0)</f>
        <v>0</v>
      </c>
      <c r="AN151" s="31">
        <v>21</v>
      </c>
      <c r="AO151" s="31">
        <f>H151*0.954053333333333</f>
        <v>0</v>
      </c>
      <c r="AP151" s="31">
        <f>H151*(1-0.954053333333333)</f>
        <v>0</v>
      </c>
      <c r="AQ151" s="32" t="s">
        <v>154</v>
      </c>
      <c r="AV151" s="31">
        <f>AW151+AX151</f>
        <v>0</v>
      </c>
      <c r="AW151" s="31">
        <f>G151*AO151</f>
        <v>0</v>
      </c>
      <c r="AX151" s="31">
        <f>G151*AP151</f>
        <v>0</v>
      </c>
      <c r="AY151" s="32" t="s">
        <v>340</v>
      </c>
      <c r="AZ151" s="32" t="s">
        <v>211</v>
      </c>
      <c r="BA151" s="42" t="s">
        <v>128</v>
      </c>
      <c r="BC151" s="31">
        <f>AW151+AX151</f>
        <v>0</v>
      </c>
      <c r="BD151" s="31">
        <f>H151/(100-BE151)*100</f>
        <v>0</v>
      </c>
      <c r="BE151" s="31">
        <v>0</v>
      </c>
      <c r="BF151" s="31">
        <f>K151</f>
        <v>0.016074599999999998</v>
      </c>
      <c r="BH151" s="31">
        <f>G151*AO151</f>
        <v>0</v>
      </c>
      <c r="BI151" s="31">
        <f>G151*AP151</f>
        <v>0</v>
      </c>
      <c r="BJ151" s="31">
        <f>G151*H151</f>
        <v>0</v>
      </c>
      <c r="BK151" s="31"/>
      <c r="BL151" s="31">
        <v>764</v>
      </c>
      <c r="BW151" s="31">
        <v>21</v>
      </c>
    </row>
    <row r="152" spans="1:12" ht="15" customHeight="1">
      <c r="A152" s="60"/>
      <c r="D152" s="61" t="s">
        <v>366</v>
      </c>
      <c r="E152" s="62"/>
      <c r="G152" s="63">
        <v>11.010000000000002</v>
      </c>
      <c r="L152" s="64"/>
    </row>
    <row r="153" spans="1:75" ht="13.5" customHeight="1">
      <c r="A153" s="30" t="s">
        <v>367</v>
      </c>
      <c r="B153" s="3" t="s">
        <v>85</v>
      </c>
      <c r="C153" s="3" t="s">
        <v>368</v>
      </c>
      <c r="D153" s="78" t="s">
        <v>369</v>
      </c>
      <c r="E153" s="78"/>
      <c r="F153" s="3" t="s">
        <v>209</v>
      </c>
      <c r="G153" s="31">
        <f>'Stavební rozpočet'!G144</f>
        <v>164</v>
      </c>
      <c r="H153" s="170">
        <v>0</v>
      </c>
      <c r="I153" s="31">
        <f>G153*H153</f>
        <v>0</v>
      </c>
      <c r="J153" s="31">
        <f>'Stavební rozpočet'!J144</f>
        <v>0.00119</v>
      </c>
      <c r="K153" s="31">
        <f>G153*J153</f>
        <v>0.19516</v>
      </c>
      <c r="L153" s="59" t="s">
        <v>125</v>
      </c>
      <c r="Z153" s="31">
        <f>IF(AQ153="5",BJ153,0)</f>
        <v>0</v>
      </c>
      <c r="AB153" s="31">
        <f>IF(AQ153="1",BH153,0)</f>
        <v>0</v>
      </c>
      <c r="AC153" s="31">
        <f>IF(AQ153="1",BI153,0)</f>
        <v>0</v>
      </c>
      <c r="AD153" s="31">
        <f>IF(AQ153="7",BH153,0)</f>
        <v>0</v>
      </c>
      <c r="AE153" s="31">
        <f>IF(AQ153="7",BI153,0)</f>
        <v>0</v>
      </c>
      <c r="AF153" s="31">
        <f>IF(AQ153="2",BH153,0)</f>
        <v>0</v>
      </c>
      <c r="AG153" s="31">
        <f>IF(AQ153="2",BI153,0)</f>
        <v>0</v>
      </c>
      <c r="AH153" s="31">
        <f>IF(AQ153="0",BJ153,0)</f>
        <v>0</v>
      </c>
      <c r="AI153" s="42" t="s">
        <v>85</v>
      </c>
      <c r="AJ153" s="31">
        <f>IF(AN153=0,I153,0)</f>
        <v>0</v>
      </c>
      <c r="AK153" s="31">
        <f>IF(AN153=12,I153,0)</f>
        <v>0</v>
      </c>
      <c r="AL153" s="31">
        <f>IF(AN153=21,I153,0)</f>
        <v>0</v>
      </c>
      <c r="AN153" s="31">
        <v>21</v>
      </c>
      <c r="AO153" s="31">
        <f>H153*0.489880362945522</f>
        <v>0</v>
      </c>
      <c r="AP153" s="31">
        <f>H153*(1-0.489880362945522)</f>
        <v>0</v>
      </c>
      <c r="AQ153" s="32" t="s">
        <v>154</v>
      </c>
      <c r="AV153" s="31">
        <f>AW153+AX153</f>
        <v>0</v>
      </c>
      <c r="AW153" s="31">
        <f>G153*AO153</f>
        <v>0</v>
      </c>
      <c r="AX153" s="31">
        <f>G153*AP153</f>
        <v>0</v>
      </c>
      <c r="AY153" s="32" t="s">
        <v>340</v>
      </c>
      <c r="AZ153" s="32" t="s">
        <v>211</v>
      </c>
      <c r="BA153" s="42" t="s">
        <v>128</v>
      </c>
      <c r="BC153" s="31">
        <f>AW153+AX153</f>
        <v>0</v>
      </c>
      <c r="BD153" s="31">
        <f>H153/(100-BE153)*100</f>
        <v>0</v>
      </c>
      <c r="BE153" s="31">
        <v>0</v>
      </c>
      <c r="BF153" s="31">
        <f>K153</f>
        <v>0.19516</v>
      </c>
      <c r="BH153" s="31">
        <f>G153*AO153</f>
        <v>0</v>
      </c>
      <c r="BI153" s="31">
        <f>G153*AP153</f>
        <v>0</v>
      </c>
      <c r="BJ153" s="31">
        <f>G153*H153</f>
        <v>0</v>
      </c>
      <c r="BK153" s="31"/>
      <c r="BL153" s="31">
        <v>764</v>
      </c>
      <c r="BW153" s="31">
        <v>21</v>
      </c>
    </row>
    <row r="154" spans="1:12" ht="13.5" customHeight="1">
      <c r="A154" s="60"/>
      <c r="D154" s="123" t="s">
        <v>370</v>
      </c>
      <c r="E154" s="123"/>
      <c r="F154" s="123"/>
      <c r="G154" s="123"/>
      <c r="H154" s="123"/>
      <c r="I154" s="123"/>
      <c r="J154" s="123"/>
      <c r="K154" s="123"/>
      <c r="L154" s="123"/>
    </row>
    <row r="155" spans="1:12" ht="15" customHeight="1">
      <c r="A155" s="60"/>
      <c r="D155" s="61" t="s">
        <v>371</v>
      </c>
      <c r="E155" s="62"/>
      <c r="G155" s="63">
        <v>164</v>
      </c>
      <c r="L155" s="64"/>
    </row>
    <row r="156" spans="1:75" ht="13.5" customHeight="1">
      <c r="A156" s="30" t="s">
        <v>372</v>
      </c>
      <c r="B156" s="3" t="s">
        <v>85</v>
      </c>
      <c r="C156" s="3" t="s">
        <v>373</v>
      </c>
      <c r="D156" s="78" t="s">
        <v>374</v>
      </c>
      <c r="E156" s="78"/>
      <c r="F156" s="3" t="s">
        <v>209</v>
      </c>
      <c r="G156" s="31">
        <f>'Stavební rozpočet'!G146</f>
        <v>13.3</v>
      </c>
      <c r="H156" s="170">
        <v>0</v>
      </c>
      <c r="I156" s="31">
        <f>G156*H156</f>
        <v>0</v>
      </c>
      <c r="J156" s="31">
        <f>'Stavební rozpočet'!J146</f>
        <v>0.00119</v>
      </c>
      <c r="K156" s="31">
        <f>G156*J156</f>
        <v>0.015827</v>
      </c>
      <c r="L156" s="59" t="s">
        <v>125</v>
      </c>
      <c r="Z156" s="31">
        <f>IF(AQ156="5",BJ156,0)</f>
        <v>0</v>
      </c>
      <c r="AB156" s="31">
        <f>IF(AQ156="1",BH156,0)</f>
        <v>0</v>
      </c>
      <c r="AC156" s="31">
        <f>IF(AQ156="1",BI156,0)</f>
        <v>0</v>
      </c>
      <c r="AD156" s="31">
        <f>IF(AQ156="7",BH156,0)</f>
        <v>0</v>
      </c>
      <c r="AE156" s="31">
        <f>IF(AQ156="7",BI156,0)</f>
        <v>0</v>
      </c>
      <c r="AF156" s="31">
        <f>IF(AQ156="2",BH156,0)</f>
        <v>0</v>
      </c>
      <c r="AG156" s="31">
        <f>IF(AQ156="2",BI156,0)</f>
        <v>0</v>
      </c>
      <c r="AH156" s="31">
        <f>IF(AQ156="0",BJ156,0)</f>
        <v>0</v>
      </c>
      <c r="AI156" s="42" t="s">
        <v>85</v>
      </c>
      <c r="AJ156" s="31">
        <f>IF(AN156=0,I156,0)</f>
        <v>0</v>
      </c>
      <c r="AK156" s="31">
        <f>IF(AN156=12,I156,0)</f>
        <v>0</v>
      </c>
      <c r="AL156" s="31">
        <f>IF(AN156=21,I156,0)</f>
        <v>0</v>
      </c>
      <c r="AN156" s="31">
        <v>21</v>
      </c>
      <c r="AO156" s="31">
        <f>H156*0.894453125</f>
        <v>0</v>
      </c>
      <c r="AP156" s="31">
        <f>H156*(1-0.894453125)</f>
        <v>0</v>
      </c>
      <c r="AQ156" s="32" t="s">
        <v>154</v>
      </c>
      <c r="AV156" s="31">
        <f>AW156+AX156</f>
        <v>0</v>
      </c>
      <c r="AW156" s="31">
        <f>G156*AO156</f>
        <v>0</v>
      </c>
      <c r="AX156" s="31">
        <f>G156*AP156</f>
        <v>0</v>
      </c>
      <c r="AY156" s="32" t="s">
        <v>340</v>
      </c>
      <c r="AZ156" s="32" t="s">
        <v>211</v>
      </c>
      <c r="BA156" s="42" t="s">
        <v>128</v>
      </c>
      <c r="BC156" s="31">
        <f>AW156+AX156</f>
        <v>0</v>
      </c>
      <c r="BD156" s="31">
        <f>H156/(100-BE156)*100</f>
        <v>0</v>
      </c>
      <c r="BE156" s="31">
        <v>0</v>
      </c>
      <c r="BF156" s="31">
        <f>K156</f>
        <v>0.015827</v>
      </c>
      <c r="BH156" s="31">
        <f>G156*AO156</f>
        <v>0</v>
      </c>
      <c r="BI156" s="31">
        <f>G156*AP156</f>
        <v>0</v>
      </c>
      <c r="BJ156" s="31">
        <f>G156*H156</f>
        <v>0</v>
      </c>
      <c r="BK156" s="31"/>
      <c r="BL156" s="31">
        <v>764</v>
      </c>
      <c r="BW156" s="31">
        <v>21</v>
      </c>
    </row>
    <row r="157" spans="1:12" ht="15" customHeight="1">
      <c r="A157" s="60"/>
      <c r="D157" s="61" t="s">
        <v>375</v>
      </c>
      <c r="E157" s="62"/>
      <c r="G157" s="63">
        <v>13.3</v>
      </c>
      <c r="L157" s="64"/>
    </row>
    <row r="158" spans="1:75" ht="13.5" customHeight="1">
      <c r="A158" s="30" t="s">
        <v>376</v>
      </c>
      <c r="B158" s="3" t="s">
        <v>85</v>
      </c>
      <c r="C158" s="3" t="s">
        <v>377</v>
      </c>
      <c r="D158" s="78" t="s">
        <v>378</v>
      </c>
      <c r="E158" s="78"/>
      <c r="F158" s="3" t="s">
        <v>124</v>
      </c>
      <c r="G158" s="31">
        <f>'Stavební rozpočet'!G148</f>
        <v>19.9</v>
      </c>
      <c r="H158" s="170">
        <v>0</v>
      </c>
      <c r="I158" s="31">
        <f>G158*H158</f>
        <v>0</v>
      </c>
      <c r="J158" s="31">
        <f>'Stavební rozpočet'!J148</f>
        <v>0.0198</v>
      </c>
      <c r="K158" s="31">
        <f>G158*J158</f>
        <v>0.39402</v>
      </c>
      <c r="L158" s="59" t="s">
        <v>125</v>
      </c>
      <c r="Z158" s="31">
        <f>IF(AQ158="5",BJ158,0)</f>
        <v>0</v>
      </c>
      <c r="AB158" s="31">
        <f>IF(AQ158="1",BH158,0)</f>
        <v>0</v>
      </c>
      <c r="AC158" s="31">
        <f>IF(AQ158="1",BI158,0)</f>
        <v>0</v>
      </c>
      <c r="AD158" s="31">
        <f>IF(AQ158="7",BH158,0)</f>
        <v>0</v>
      </c>
      <c r="AE158" s="31">
        <f>IF(AQ158="7",BI158,0)</f>
        <v>0</v>
      </c>
      <c r="AF158" s="31">
        <f>IF(AQ158="2",BH158,0)</f>
        <v>0</v>
      </c>
      <c r="AG158" s="31">
        <f>IF(AQ158="2",BI158,0)</f>
        <v>0</v>
      </c>
      <c r="AH158" s="31">
        <f>IF(AQ158="0",BJ158,0)</f>
        <v>0</v>
      </c>
      <c r="AI158" s="42" t="s">
        <v>85</v>
      </c>
      <c r="AJ158" s="31">
        <f>IF(AN158=0,I158,0)</f>
        <v>0</v>
      </c>
      <c r="AK158" s="31">
        <f>IF(AN158=12,I158,0)</f>
        <v>0</v>
      </c>
      <c r="AL158" s="31">
        <f>IF(AN158=21,I158,0)</f>
        <v>0</v>
      </c>
      <c r="AN158" s="31">
        <v>21</v>
      </c>
      <c r="AO158" s="31">
        <f>H158*0.754466544915707</f>
        <v>0</v>
      </c>
      <c r="AP158" s="31">
        <f>H158*(1-0.754466544915707)</f>
        <v>0</v>
      </c>
      <c r="AQ158" s="32" t="s">
        <v>154</v>
      </c>
      <c r="AV158" s="31">
        <f>AW158+AX158</f>
        <v>0</v>
      </c>
      <c r="AW158" s="31">
        <f>G158*AO158</f>
        <v>0</v>
      </c>
      <c r="AX158" s="31">
        <f>G158*AP158</f>
        <v>0</v>
      </c>
      <c r="AY158" s="32" t="s">
        <v>340</v>
      </c>
      <c r="AZ158" s="32" t="s">
        <v>211</v>
      </c>
      <c r="BA158" s="42" t="s">
        <v>128</v>
      </c>
      <c r="BC158" s="31">
        <f>AW158+AX158</f>
        <v>0</v>
      </c>
      <c r="BD158" s="31">
        <f>H158/(100-BE158)*100</f>
        <v>0</v>
      </c>
      <c r="BE158" s="31">
        <v>0</v>
      </c>
      <c r="BF158" s="31">
        <f>K158</f>
        <v>0.39402</v>
      </c>
      <c r="BH158" s="31">
        <f>G158*AO158</f>
        <v>0</v>
      </c>
      <c r="BI158" s="31">
        <f>G158*AP158</f>
        <v>0</v>
      </c>
      <c r="BJ158" s="31">
        <f>G158*H158</f>
        <v>0</v>
      </c>
      <c r="BK158" s="31"/>
      <c r="BL158" s="31">
        <v>764</v>
      </c>
      <c r="BW158" s="31">
        <v>21</v>
      </c>
    </row>
    <row r="159" spans="1:12" ht="13.5" customHeight="1">
      <c r="A159" s="60"/>
      <c r="D159" s="123" t="s">
        <v>379</v>
      </c>
      <c r="E159" s="123"/>
      <c r="F159" s="123"/>
      <c r="G159" s="123"/>
      <c r="H159" s="123"/>
      <c r="I159" s="123"/>
      <c r="J159" s="123"/>
      <c r="K159" s="123"/>
      <c r="L159" s="123"/>
    </row>
    <row r="160" spans="1:12" ht="15" customHeight="1">
      <c r="A160" s="60"/>
      <c r="D160" s="61" t="s">
        <v>380</v>
      </c>
      <c r="E160" s="62"/>
      <c r="G160" s="63">
        <v>19.900000000000002</v>
      </c>
      <c r="L160" s="64"/>
    </row>
    <row r="161" spans="1:75" ht="13.5" customHeight="1">
      <c r="A161" s="30" t="s">
        <v>381</v>
      </c>
      <c r="B161" s="3" t="s">
        <v>85</v>
      </c>
      <c r="C161" s="3" t="s">
        <v>382</v>
      </c>
      <c r="D161" s="78" t="s">
        <v>383</v>
      </c>
      <c r="E161" s="78"/>
      <c r="F161" s="3" t="s">
        <v>209</v>
      </c>
      <c r="G161" s="31">
        <f>'Stavební rozpočet'!G150</f>
        <v>25.7</v>
      </c>
      <c r="H161" s="170">
        <v>0</v>
      </c>
      <c r="I161" s="31">
        <f>G161*H161</f>
        <v>0</v>
      </c>
      <c r="J161" s="31">
        <f>'Stavební rozpočet'!J150</f>
        <v>0.00159</v>
      </c>
      <c r="K161" s="31">
        <f>G161*J161</f>
        <v>0.040863000000000003</v>
      </c>
      <c r="L161" s="59" t="s">
        <v>125</v>
      </c>
      <c r="Z161" s="31">
        <f>IF(AQ161="5",BJ161,0)</f>
        <v>0</v>
      </c>
      <c r="AB161" s="31">
        <f>IF(AQ161="1",BH161,0)</f>
        <v>0</v>
      </c>
      <c r="AC161" s="31">
        <f>IF(AQ161="1",BI161,0)</f>
        <v>0</v>
      </c>
      <c r="AD161" s="31">
        <f>IF(AQ161="7",BH161,0)</f>
        <v>0</v>
      </c>
      <c r="AE161" s="31">
        <f>IF(AQ161="7",BI161,0)</f>
        <v>0</v>
      </c>
      <c r="AF161" s="31">
        <f>IF(AQ161="2",BH161,0)</f>
        <v>0</v>
      </c>
      <c r="AG161" s="31">
        <f>IF(AQ161="2",BI161,0)</f>
        <v>0</v>
      </c>
      <c r="AH161" s="31">
        <f>IF(AQ161="0",BJ161,0)</f>
        <v>0</v>
      </c>
      <c r="AI161" s="42" t="s">
        <v>85</v>
      </c>
      <c r="AJ161" s="31">
        <f>IF(AN161=0,I161,0)</f>
        <v>0</v>
      </c>
      <c r="AK161" s="31">
        <f>IF(AN161=12,I161,0)</f>
        <v>0</v>
      </c>
      <c r="AL161" s="31">
        <f>IF(AN161=21,I161,0)</f>
        <v>0</v>
      </c>
      <c r="AN161" s="31">
        <v>21</v>
      </c>
      <c r="AO161" s="31">
        <f>H161*0.840895027624309</f>
        <v>0</v>
      </c>
      <c r="AP161" s="31">
        <f>H161*(1-0.840895027624309)</f>
        <v>0</v>
      </c>
      <c r="AQ161" s="32" t="s">
        <v>154</v>
      </c>
      <c r="AV161" s="31">
        <f>AW161+AX161</f>
        <v>0</v>
      </c>
      <c r="AW161" s="31">
        <f>G161*AO161</f>
        <v>0</v>
      </c>
      <c r="AX161" s="31">
        <f>G161*AP161</f>
        <v>0</v>
      </c>
      <c r="AY161" s="32" t="s">
        <v>340</v>
      </c>
      <c r="AZ161" s="32" t="s">
        <v>211</v>
      </c>
      <c r="BA161" s="42" t="s">
        <v>128</v>
      </c>
      <c r="BC161" s="31">
        <f>AW161+AX161</f>
        <v>0</v>
      </c>
      <c r="BD161" s="31">
        <f>H161/(100-BE161)*100</f>
        <v>0</v>
      </c>
      <c r="BE161" s="31">
        <v>0</v>
      </c>
      <c r="BF161" s="31">
        <f>K161</f>
        <v>0.040863000000000003</v>
      </c>
      <c r="BH161" s="31">
        <f>G161*AO161</f>
        <v>0</v>
      </c>
      <c r="BI161" s="31">
        <f>G161*AP161</f>
        <v>0</v>
      </c>
      <c r="BJ161" s="31">
        <f>G161*H161</f>
        <v>0</v>
      </c>
      <c r="BK161" s="31"/>
      <c r="BL161" s="31">
        <v>764</v>
      </c>
      <c r="BW161" s="31">
        <v>21</v>
      </c>
    </row>
    <row r="162" spans="1:12" ht="15" customHeight="1">
      <c r="A162" s="60"/>
      <c r="D162" s="61" t="s">
        <v>384</v>
      </c>
      <c r="E162" s="62"/>
      <c r="G162" s="63">
        <v>25.700000000000003</v>
      </c>
      <c r="L162" s="64"/>
    </row>
    <row r="163" spans="1:75" ht="13.5" customHeight="1">
      <c r="A163" s="30" t="s">
        <v>385</v>
      </c>
      <c r="B163" s="3" t="s">
        <v>85</v>
      </c>
      <c r="C163" s="3" t="s">
        <v>386</v>
      </c>
      <c r="D163" s="78" t="s">
        <v>387</v>
      </c>
      <c r="E163" s="78"/>
      <c r="F163" s="3" t="s">
        <v>209</v>
      </c>
      <c r="G163" s="31">
        <f>'Stavební rozpočet'!G152</f>
        <v>151.9</v>
      </c>
      <c r="H163" s="170">
        <v>0</v>
      </c>
      <c r="I163" s="31">
        <f>G163*H163</f>
        <v>0</v>
      </c>
      <c r="J163" s="31">
        <f>'Stavební rozpočet'!J152</f>
        <v>0.00404</v>
      </c>
      <c r="K163" s="31">
        <f>G163*J163</f>
        <v>0.613676</v>
      </c>
      <c r="L163" s="59" t="s">
        <v>125</v>
      </c>
      <c r="Z163" s="31">
        <f>IF(AQ163="5",BJ163,0)</f>
        <v>0</v>
      </c>
      <c r="AB163" s="31">
        <f>IF(AQ163="1",BH163,0)</f>
        <v>0</v>
      </c>
      <c r="AC163" s="31">
        <f>IF(AQ163="1",BI163,0)</f>
        <v>0</v>
      </c>
      <c r="AD163" s="31">
        <f>IF(AQ163="7",BH163,0)</f>
        <v>0</v>
      </c>
      <c r="AE163" s="31">
        <f>IF(AQ163="7",BI163,0)</f>
        <v>0</v>
      </c>
      <c r="AF163" s="31">
        <f>IF(AQ163="2",BH163,0)</f>
        <v>0</v>
      </c>
      <c r="AG163" s="31">
        <f>IF(AQ163="2",BI163,0)</f>
        <v>0</v>
      </c>
      <c r="AH163" s="31">
        <f>IF(AQ163="0",BJ163,0)</f>
        <v>0</v>
      </c>
      <c r="AI163" s="42" t="s">
        <v>85</v>
      </c>
      <c r="AJ163" s="31">
        <f>IF(AN163=0,I163,0)</f>
        <v>0</v>
      </c>
      <c r="AK163" s="31">
        <f>IF(AN163=12,I163,0)</f>
        <v>0</v>
      </c>
      <c r="AL163" s="31">
        <f>IF(AN163=21,I163,0)</f>
        <v>0</v>
      </c>
      <c r="AN163" s="31">
        <v>21</v>
      </c>
      <c r="AO163" s="31">
        <f>H163*0.796944444444445</f>
        <v>0</v>
      </c>
      <c r="AP163" s="31">
        <f>H163*(1-0.796944444444445)</f>
        <v>0</v>
      </c>
      <c r="AQ163" s="32" t="s">
        <v>154</v>
      </c>
      <c r="AV163" s="31">
        <f>AW163+AX163</f>
        <v>0</v>
      </c>
      <c r="AW163" s="31">
        <f>G163*AO163</f>
        <v>0</v>
      </c>
      <c r="AX163" s="31">
        <f>G163*AP163</f>
        <v>0</v>
      </c>
      <c r="AY163" s="32" t="s">
        <v>340</v>
      </c>
      <c r="AZ163" s="32" t="s">
        <v>211</v>
      </c>
      <c r="BA163" s="42" t="s">
        <v>128</v>
      </c>
      <c r="BC163" s="31">
        <f>AW163+AX163</f>
        <v>0</v>
      </c>
      <c r="BD163" s="31">
        <f>H163/(100-BE163)*100</f>
        <v>0</v>
      </c>
      <c r="BE163" s="31">
        <v>0</v>
      </c>
      <c r="BF163" s="31">
        <f>K163</f>
        <v>0.613676</v>
      </c>
      <c r="BH163" s="31">
        <f>G163*AO163</f>
        <v>0</v>
      </c>
      <c r="BI163" s="31">
        <f>G163*AP163</f>
        <v>0</v>
      </c>
      <c r="BJ163" s="31">
        <f>G163*H163</f>
        <v>0</v>
      </c>
      <c r="BK163" s="31"/>
      <c r="BL163" s="31">
        <v>764</v>
      </c>
      <c r="BW163" s="31">
        <v>21</v>
      </c>
    </row>
    <row r="164" spans="1:12" ht="15" customHeight="1">
      <c r="A164" s="60"/>
      <c r="D164" s="61" t="s">
        <v>388</v>
      </c>
      <c r="E164" s="62"/>
      <c r="G164" s="63">
        <v>151.9</v>
      </c>
      <c r="L164" s="64"/>
    </row>
    <row r="165" spans="1:75" ht="13.5" customHeight="1">
      <c r="A165" s="30" t="s">
        <v>389</v>
      </c>
      <c r="B165" s="3" t="s">
        <v>85</v>
      </c>
      <c r="C165" s="3" t="s">
        <v>390</v>
      </c>
      <c r="D165" s="78" t="s">
        <v>391</v>
      </c>
      <c r="E165" s="78"/>
      <c r="F165" s="3" t="s">
        <v>349</v>
      </c>
      <c r="G165" s="31">
        <f>'Stavební rozpočet'!G154</f>
        <v>11</v>
      </c>
      <c r="H165" s="170">
        <v>0</v>
      </c>
      <c r="I165" s="31">
        <f>G165*H165</f>
        <v>0</v>
      </c>
      <c r="J165" s="31">
        <f>'Stavební rozpočet'!J154</f>
        <v>0.00329</v>
      </c>
      <c r="K165" s="31">
        <f>G165*J165</f>
        <v>0.03619</v>
      </c>
      <c r="L165" s="59" t="s">
        <v>125</v>
      </c>
      <c r="Z165" s="31">
        <f>IF(AQ165="5",BJ165,0)</f>
        <v>0</v>
      </c>
      <c r="AB165" s="31">
        <f>IF(AQ165="1",BH165,0)</f>
        <v>0</v>
      </c>
      <c r="AC165" s="31">
        <f>IF(AQ165="1",BI165,0)</f>
        <v>0</v>
      </c>
      <c r="AD165" s="31">
        <f>IF(AQ165="7",BH165,0)</f>
        <v>0</v>
      </c>
      <c r="AE165" s="31">
        <f>IF(AQ165="7",BI165,0)</f>
        <v>0</v>
      </c>
      <c r="AF165" s="31">
        <f>IF(AQ165="2",BH165,0)</f>
        <v>0</v>
      </c>
      <c r="AG165" s="31">
        <f>IF(AQ165="2",BI165,0)</f>
        <v>0</v>
      </c>
      <c r="AH165" s="31">
        <f>IF(AQ165="0",BJ165,0)</f>
        <v>0</v>
      </c>
      <c r="AI165" s="42" t="s">
        <v>85</v>
      </c>
      <c r="AJ165" s="31">
        <f>IF(AN165=0,I165,0)</f>
        <v>0</v>
      </c>
      <c r="AK165" s="31">
        <f>IF(AN165=12,I165,0)</f>
        <v>0</v>
      </c>
      <c r="AL165" s="31">
        <f>IF(AN165=21,I165,0)</f>
        <v>0</v>
      </c>
      <c r="AN165" s="31">
        <v>21</v>
      </c>
      <c r="AO165" s="31">
        <f>H165*0.612972010195252</f>
        <v>0</v>
      </c>
      <c r="AP165" s="31">
        <f>H165*(1-0.612972010195252)</f>
        <v>0</v>
      </c>
      <c r="AQ165" s="32" t="s">
        <v>154</v>
      </c>
      <c r="AV165" s="31">
        <f>AW165+AX165</f>
        <v>0</v>
      </c>
      <c r="AW165" s="31">
        <f>G165*AO165</f>
        <v>0</v>
      </c>
      <c r="AX165" s="31">
        <f>G165*AP165</f>
        <v>0</v>
      </c>
      <c r="AY165" s="32" t="s">
        <v>340</v>
      </c>
      <c r="AZ165" s="32" t="s">
        <v>211</v>
      </c>
      <c r="BA165" s="42" t="s">
        <v>128</v>
      </c>
      <c r="BC165" s="31">
        <f>AW165+AX165</f>
        <v>0</v>
      </c>
      <c r="BD165" s="31">
        <f>H165/(100-BE165)*100</f>
        <v>0</v>
      </c>
      <c r="BE165" s="31">
        <v>0</v>
      </c>
      <c r="BF165" s="31">
        <f>K165</f>
        <v>0.03619</v>
      </c>
      <c r="BH165" s="31">
        <f>G165*AO165</f>
        <v>0</v>
      </c>
      <c r="BI165" s="31">
        <f>G165*AP165</f>
        <v>0</v>
      </c>
      <c r="BJ165" s="31">
        <f>G165*H165</f>
        <v>0</v>
      </c>
      <c r="BK165" s="31"/>
      <c r="BL165" s="31">
        <v>764</v>
      </c>
      <c r="BW165" s="31">
        <v>21</v>
      </c>
    </row>
    <row r="166" spans="1:12" ht="15" customHeight="1">
      <c r="A166" s="60"/>
      <c r="D166" s="61" t="s">
        <v>392</v>
      </c>
      <c r="E166" s="62"/>
      <c r="G166" s="63">
        <v>11.000000000000002</v>
      </c>
      <c r="L166" s="64"/>
    </row>
    <row r="167" spans="1:75" ht="13.5" customHeight="1">
      <c r="A167" s="30" t="s">
        <v>393</v>
      </c>
      <c r="B167" s="3" t="s">
        <v>85</v>
      </c>
      <c r="C167" s="3" t="s">
        <v>394</v>
      </c>
      <c r="D167" s="78" t="s">
        <v>395</v>
      </c>
      <c r="E167" s="78"/>
      <c r="F167" s="3" t="s">
        <v>209</v>
      </c>
      <c r="G167" s="31">
        <f>'Stavební rozpočet'!G156</f>
        <v>41</v>
      </c>
      <c r="H167" s="170">
        <v>0</v>
      </c>
      <c r="I167" s="31">
        <f>G167*H167</f>
        <v>0</v>
      </c>
      <c r="J167" s="31">
        <f>'Stavební rozpočet'!J156</f>
        <v>0.00464</v>
      </c>
      <c r="K167" s="31">
        <f>G167*J167</f>
        <v>0.19024</v>
      </c>
      <c r="L167" s="59" t="s">
        <v>125</v>
      </c>
      <c r="Z167" s="31">
        <f>IF(AQ167="5",BJ167,0)</f>
        <v>0</v>
      </c>
      <c r="AB167" s="31">
        <f>IF(AQ167="1",BH167,0)</f>
        <v>0</v>
      </c>
      <c r="AC167" s="31">
        <f>IF(AQ167="1",BI167,0)</f>
        <v>0</v>
      </c>
      <c r="AD167" s="31">
        <f>IF(AQ167="7",BH167,0)</f>
        <v>0</v>
      </c>
      <c r="AE167" s="31">
        <f>IF(AQ167="7",BI167,0)</f>
        <v>0</v>
      </c>
      <c r="AF167" s="31">
        <f>IF(AQ167="2",BH167,0)</f>
        <v>0</v>
      </c>
      <c r="AG167" s="31">
        <f>IF(AQ167="2",BI167,0)</f>
        <v>0</v>
      </c>
      <c r="AH167" s="31">
        <f>IF(AQ167="0",BJ167,0)</f>
        <v>0</v>
      </c>
      <c r="AI167" s="42" t="s">
        <v>85</v>
      </c>
      <c r="AJ167" s="31">
        <f>IF(AN167=0,I167,0)</f>
        <v>0</v>
      </c>
      <c r="AK167" s="31">
        <f>IF(AN167=12,I167,0)</f>
        <v>0</v>
      </c>
      <c r="AL167" s="31">
        <f>IF(AN167=21,I167,0)</f>
        <v>0</v>
      </c>
      <c r="AN167" s="31">
        <v>21</v>
      </c>
      <c r="AO167" s="31">
        <f>H167*0.9002125</f>
        <v>0</v>
      </c>
      <c r="AP167" s="31">
        <f>H167*(1-0.9002125)</f>
        <v>0</v>
      </c>
      <c r="AQ167" s="32" t="s">
        <v>154</v>
      </c>
      <c r="AV167" s="31">
        <f>AW167+AX167</f>
        <v>0</v>
      </c>
      <c r="AW167" s="31">
        <f>G167*AO167</f>
        <v>0</v>
      </c>
      <c r="AX167" s="31">
        <f>G167*AP167</f>
        <v>0</v>
      </c>
      <c r="AY167" s="32" t="s">
        <v>340</v>
      </c>
      <c r="AZ167" s="32" t="s">
        <v>211</v>
      </c>
      <c r="BA167" s="42" t="s">
        <v>128</v>
      </c>
      <c r="BC167" s="31">
        <f>AW167+AX167</f>
        <v>0</v>
      </c>
      <c r="BD167" s="31">
        <f>H167/(100-BE167)*100</f>
        <v>0</v>
      </c>
      <c r="BE167" s="31">
        <v>0</v>
      </c>
      <c r="BF167" s="31">
        <f>K167</f>
        <v>0.19024</v>
      </c>
      <c r="BH167" s="31">
        <f>G167*AO167</f>
        <v>0</v>
      </c>
      <c r="BI167" s="31">
        <f>G167*AP167</f>
        <v>0</v>
      </c>
      <c r="BJ167" s="31">
        <f>G167*H167</f>
        <v>0</v>
      </c>
      <c r="BK167" s="31"/>
      <c r="BL167" s="31">
        <v>764</v>
      </c>
      <c r="BW167" s="31">
        <v>21</v>
      </c>
    </row>
    <row r="168" spans="1:12" ht="15" customHeight="1">
      <c r="A168" s="60"/>
      <c r="D168" s="61" t="s">
        <v>396</v>
      </c>
      <c r="E168" s="62"/>
      <c r="G168" s="63">
        <v>41</v>
      </c>
      <c r="L168" s="64"/>
    </row>
    <row r="169" spans="1:75" ht="13.5" customHeight="1">
      <c r="A169" s="30" t="s">
        <v>397</v>
      </c>
      <c r="B169" s="3" t="s">
        <v>85</v>
      </c>
      <c r="C169" s="3" t="s">
        <v>398</v>
      </c>
      <c r="D169" s="78" t="s">
        <v>399</v>
      </c>
      <c r="E169" s="78"/>
      <c r="F169" s="3" t="s">
        <v>209</v>
      </c>
      <c r="G169" s="31">
        <f>'Stavební rozpočet'!G158</f>
        <v>40</v>
      </c>
      <c r="H169" s="170">
        <v>0</v>
      </c>
      <c r="I169" s="31">
        <f>G169*H169</f>
        <v>0</v>
      </c>
      <c r="J169" s="31">
        <f>'Stavební rozpočet'!J158</f>
        <v>0.00346</v>
      </c>
      <c r="K169" s="31">
        <f>G169*J169</f>
        <v>0.1384</v>
      </c>
      <c r="L169" s="59" t="s">
        <v>125</v>
      </c>
      <c r="Z169" s="31">
        <f>IF(AQ169="5",BJ169,0)</f>
        <v>0</v>
      </c>
      <c r="AB169" s="31">
        <f>IF(AQ169="1",BH169,0)</f>
        <v>0</v>
      </c>
      <c r="AC169" s="31">
        <f>IF(AQ169="1",BI169,0)</f>
        <v>0</v>
      </c>
      <c r="AD169" s="31">
        <f>IF(AQ169="7",BH169,0)</f>
        <v>0</v>
      </c>
      <c r="AE169" s="31">
        <f>IF(AQ169="7",BI169,0)</f>
        <v>0</v>
      </c>
      <c r="AF169" s="31">
        <f>IF(AQ169="2",BH169,0)</f>
        <v>0</v>
      </c>
      <c r="AG169" s="31">
        <f>IF(AQ169="2",BI169,0)</f>
        <v>0</v>
      </c>
      <c r="AH169" s="31">
        <f>IF(AQ169="0",BJ169,0)</f>
        <v>0</v>
      </c>
      <c r="AI169" s="42" t="s">
        <v>85</v>
      </c>
      <c r="AJ169" s="31">
        <f>IF(AN169=0,I169,0)</f>
        <v>0</v>
      </c>
      <c r="AK169" s="31">
        <f>IF(AN169=12,I169,0)</f>
        <v>0</v>
      </c>
      <c r="AL169" s="31">
        <f>IF(AN169=21,I169,0)</f>
        <v>0</v>
      </c>
      <c r="AN169" s="31">
        <v>21</v>
      </c>
      <c r="AO169" s="31">
        <f>H169*0.805683341928829</f>
        <v>0</v>
      </c>
      <c r="AP169" s="31">
        <f>H169*(1-0.805683341928829)</f>
        <v>0</v>
      </c>
      <c r="AQ169" s="32" t="s">
        <v>154</v>
      </c>
      <c r="AV169" s="31">
        <f>AW169+AX169</f>
        <v>0</v>
      </c>
      <c r="AW169" s="31">
        <f>G169*AO169</f>
        <v>0</v>
      </c>
      <c r="AX169" s="31">
        <f>G169*AP169</f>
        <v>0</v>
      </c>
      <c r="AY169" s="32" t="s">
        <v>340</v>
      </c>
      <c r="AZ169" s="32" t="s">
        <v>211</v>
      </c>
      <c r="BA169" s="42" t="s">
        <v>128</v>
      </c>
      <c r="BC169" s="31">
        <f>AW169+AX169</f>
        <v>0</v>
      </c>
      <c r="BD169" s="31">
        <f>H169/(100-BE169)*100</f>
        <v>0</v>
      </c>
      <c r="BE169" s="31">
        <v>0</v>
      </c>
      <c r="BF169" s="31">
        <f>K169</f>
        <v>0.1384</v>
      </c>
      <c r="BH169" s="31">
        <f>G169*AO169</f>
        <v>0</v>
      </c>
      <c r="BI169" s="31">
        <f>G169*AP169</f>
        <v>0</v>
      </c>
      <c r="BJ169" s="31">
        <f>G169*H169</f>
        <v>0</v>
      </c>
      <c r="BK169" s="31"/>
      <c r="BL169" s="31">
        <v>764</v>
      </c>
      <c r="BW169" s="31">
        <v>21</v>
      </c>
    </row>
    <row r="170" spans="1:12" ht="15" customHeight="1">
      <c r="A170" s="60"/>
      <c r="D170" s="61" t="s">
        <v>400</v>
      </c>
      <c r="E170" s="62"/>
      <c r="G170" s="63">
        <v>40</v>
      </c>
      <c r="L170" s="64"/>
    </row>
    <row r="171" spans="1:75" ht="13.5" customHeight="1">
      <c r="A171" s="30" t="s">
        <v>401</v>
      </c>
      <c r="B171" s="3" t="s">
        <v>85</v>
      </c>
      <c r="C171" s="3" t="s">
        <v>402</v>
      </c>
      <c r="D171" s="78" t="s">
        <v>403</v>
      </c>
      <c r="E171" s="78"/>
      <c r="F171" s="3" t="s">
        <v>124</v>
      </c>
      <c r="G171" s="31">
        <f>'Stavební rozpočet'!G160</f>
        <v>2.64</v>
      </c>
      <c r="H171" s="170">
        <v>0</v>
      </c>
      <c r="I171" s="31">
        <f>G171*H171</f>
        <v>0</v>
      </c>
      <c r="J171" s="31">
        <f>'Stavební rozpočet'!J160</f>
        <v>0.00811</v>
      </c>
      <c r="K171" s="31">
        <f>G171*J171</f>
        <v>0.0214104</v>
      </c>
      <c r="L171" s="59" t="s">
        <v>125</v>
      </c>
      <c r="Z171" s="31">
        <f>IF(AQ171="5",BJ171,0)</f>
        <v>0</v>
      </c>
      <c r="AB171" s="31">
        <f>IF(AQ171="1",BH171,0)</f>
        <v>0</v>
      </c>
      <c r="AC171" s="31">
        <f>IF(AQ171="1",BI171,0)</f>
        <v>0</v>
      </c>
      <c r="AD171" s="31">
        <f>IF(AQ171="7",BH171,0)</f>
        <v>0</v>
      </c>
      <c r="AE171" s="31">
        <f>IF(AQ171="7",BI171,0)</f>
        <v>0</v>
      </c>
      <c r="AF171" s="31">
        <f>IF(AQ171="2",BH171,0)</f>
        <v>0</v>
      </c>
      <c r="AG171" s="31">
        <f>IF(AQ171="2",BI171,0)</f>
        <v>0</v>
      </c>
      <c r="AH171" s="31">
        <f>IF(AQ171="0",BJ171,0)</f>
        <v>0</v>
      </c>
      <c r="AI171" s="42" t="s">
        <v>85</v>
      </c>
      <c r="AJ171" s="31">
        <f>IF(AN171=0,I171,0)</f>
        <v>0</v>
      </c>
      <c r="AK171" s="31">
        <f>IF(AN171=12,I171,0)</f>
        <v>0</v>
      </c>
      <c r="AL171" s="31">
        <f>IF(AN171=21,I171,0)</f>
        <v>0</v>
      </c>
      <c r="AN171" s="31">
        <v>21</v>
      </c>
      <c r="AO171" s="31">
        <f>H171*0.690791922739245</f>
        <v>0</v>
      </c>
      <c r="AP171" s="31">
        <f>H171*(1-0.690791922739245)</f>
        <v>0</v>
      </c>
      <c r="AQ171" s="32" t="s">
        <v>154</v>
      </c>
      <c r="AV171" s="31">
        <f>AW171+AX171</f>
        <v>0</v>
      </c>
      <c r="AW171" s="31">
        <f>G171*AO171</f>
        <v>0</v>
      </c>
      <c r="AX171" s="31">
        <f>G171*AP171</f>
        <v>0</v>
      </c>
      <c r="AY171" s="32" t="s">
        <v>340</v>
      </c>
      <c r="AZ171" s="32" t="s">
        <v>211</v>
      </c>
      <c r="BA171" s="42" t="s">
        <v>128</v>
      </c>
      <c r="BC171" s="31">
        <f>AW171+AX171</f>
        <v>0</v>
      </c>
      <c r="BD171" s="31">
        <f>H171/(100-BE171)*100</f>
        <v>0</v>
      </c>
      <c r="BE171" s="31">
        <v>0</v>
      </c>
      <c r="BF171" s="31">
        <f>K171</f>
        <v>0.0214104</v>
      </c>
      <c r="BH171" s="31">
        <f>G171*AO171</f>
        <v>0</v>
      </c>
      <c r="BI171" s="31">
        <f>G171*AP171</f>
        <v>0</v>
      </c>
      <c r="BJ171" s="31">
        <f>G171*H171</f>
        <v>0</v>
      </c>
      <c r="BK171" s="31"/>
      <c r="BL171" s="31">
        <v>764</v>
      </c>
      <c r="BW171" s="31">
        <v>21</v>
      </c>
    </row>
    <row r="172" spans="1:12" ht="15" customHeight="1">
      <c r="A172" s="60"/>
      <c r="D172" s="61" t="s">
        <v>404</v>
      </c>
      <c r="E172" s="62"/>
      <c r="G172" s="63">
        <v>2.64</v>
      </c>
      <c r="L172" s="64"/>
    </row>
    <row r="173" spans="1:75" ht="13.5" customHeight="1">
      <c r="A173" s="30" t="s">
        <v>405</v>
      </c>
      <c r="B173" s="3" t="s">
        <v>85</v>
      </c>
      <c r="C173" s="3" t="s">
        <v>406</v>
      </c>
      <c r="D173" s="78" t="s">
        <v>407</v>
      </c>
      <c r="E173" s="78"/>
      <c r="F173" s="3" t="s">
        <v>209</v>
      </c>
      <c r="G173" s="31">
        <f>'Stavební rozpočet'!G162</f>
        <v>12.2</v>
      </c>
      <c r="H173" s="170">
        <v>0</v>
      </c>
      <c r="I173" s="31">
        <f>G173*H173</f>
        <v>0</v>
      </c>
      <c r="J173" s="31">
        <f>'Stavební rozpočet'!J162</f>
        <v>0.00326</v>
      </c>
      <c r="K173" s="31">
        <f>G173*J173</f>
        <v>0.039771999999999995</v>
      </c>
      <c r="L173" s="59" t="s">
        <v>125</v>
      </c>
      <c r="Z173" s="31">
        <f>IF(AQ173="5",BJ173,0)</f>
        <v>0</v>
      </c>
      <c r="AB173" s="31">
        <f>IF(AQ173="1",BH173,0)</f>
        <v>0</v>
      </c>
      <c r="AC173" s="31">
        <f>IF(AQ173="1",BI173,0)</f>
        <v>0</v>
      </c>
      <c r="AD173" s="31">
        <f>IF(AQ173="7",BH173,0)</f>
        <v>0</v>
      </c>
      <c r="AE173" s="31">
        <f>IF(AQ173="7",BI173,0)</f>
        <v>0</v>
      </c>
      <c r="AF173" s="31">
        <f>IF(AQ173="2",BH173,0)</f>
        <v>0</v>
      </c>
      <c r="AG173" s="31">
        <f>IF(AQ173="2",BI173,0)</f>
        <v>0</v>
      </c>
      <c r="AH173" s="31">
        <f>IF(AQ173="0",BJ173,0)</f>
        <v>0</v>
      </c>
      <c r="AI173" s="42" t="s">
        <v>85</v>
      </c>
      <c r="AJ173" s="31">
        <f>IF(AN173=0,I173,0)</f>
        <v>0</v>
      </c>
      <c r="AK173" s="31">
        <f>IF(AN173=12,I173,0)</f>
        <v>0</v>
      </c>
      <c r="AL173" s="31">
        <f>IF(AN173=21,I173,0)</f>
        <v>0</v>
      </c>
      <c r="AN173" s="31">
        <v>21</v>
      </c>
      <c r="AO173" s="31">
        <f>H173*0.890051020408163</f>
        <v>0</v>
      </c>
      <c r="AP173" s="31">
        <f>H173*(1-0.890051020408163)</f>
        <v>0</v>
      </c>
      <c r="AQ173" s="32" t="s">
        <v>154</v>
      </c>
      <c r="AV173" s="31">
        <f>AW173+AX173</f>
        <v>0</v>
      </c>
      <c r="AW173" s="31">
        <f>G173*AO173</f>
        <v>0</v>
      </c>
      <c r="AX173" s="31">
        <f>G173*AP173</f>
        <v>0</v>
      </c>
      <c r="AY173" s="32" t="s">
        <v>340</v>
      </c>
      <c r="AZ173" s="32" t="s">
        <v>211</v>
      </c>
      <c r="BA173" s="42" t="s">
        <v>128</v>
      </c>
      <c r="BC173" s="31">
        <f>AW173+AX173</f>
        <v>0</v>
      </c>
      <c r="BD173" s="31">
        <f>H173/(100-BE173)*100</f>
        <v>0</v>
      </c>
      <c r="BE173" s="31">
        <v>0</v>
      </c>
      <c r="BF173" s="31">
        <f>K173</f>
        <v>0.039771999999999995</v>
      </c>
      <c r="BH173" s="31">
        <f>G173*AO173</f>
        <v>0</v>
      </c>
      <c r="BI173" s="31">
        <f>G173*AP173</f>
        <v>0</v>
      </c>
      <c r="BJ173" s="31">
        <f>G173*H173</f>
        <v>0</v>
      </c>
      <c r="BK173" s="31"/>
      <c r="BL173" s="31">
        <v>764</v>
      </c>
      <c r="BW173" s="31">
        <v>21</v>
      </c>
    </row>
    <row r="174" spans="1:12" ht="13.5" customHeight="1">
      <c r="A174" s="60"/>
      <c r="D174" s="123" t="s">
        <v>408</v>
      </c>
      <c r="E174" s="123"/>
      <c r="F174" s="123"/>
      <c r="G174" s="123"/>
      <c r="H174" s="123"/>
      <c r="I174" s="123"/>
      <c r="J174" s="123"/>
      <c r="K174" s="123"/>
      <c r="L174" s="123"/>
    </row>
    <row r="175" spans="1:12" ht="15" customHeight="1">
      <c r="A175" s="60"/>
      <c r="D175" s="61" t="s">
        <v>409</v>
      </c>
      <c r="E175" s="62"/>
      <c r="G175" s="63">
        <v>12.2</v>
      </c>
      <c r="L175" s="64"/>
    </row>
    <row r="176" spans="1:75" ht="13.5" customHeight="1">
      <c r="A176" s="30" t="s">
        <v>410</v>
      </c>
      <c r="B176" s="3" t="s">
        <v>85</v>
      </c>
      <c r="C176" s="3" t="s">
        <v>411</v>
      </c>
      <c r="D176" s="78" t="s">
        <v>412</v>
      </c>
      <c r="E176" s="78"/>
      <c r="F176" s="3" t="s">
        <v>209</v>
      </c>
      <c r="G176" s="31">
        <f>'Stavební rozpočet'!G164</f>
        <v>10</v>
      </c>
      <c r="H176" s="170">
        <v>0</v>
      </c>
      <c r="I176" s="31">
        <f>G176*H176</f>
        <v>0</v>
      </c>
      <c r="J176" s="31">
        <f>'Stavební rozpočet'!J164</f>
        <v>0.00354</v>
      </c>
      <c r="K176" s="31">
        <f>G176*J176</f>
        <v>0.0354</v>
      </c>
      <c r="L176" s="59" t="s">
        <v>125</v>
      </c>
      <c r="Z176" s="31">
        <f>IF(AQ176="5",BJ176,0)</f>
        <v>0</v>
      </c>
      <c r="AB176" s="31">
        <f>IF(AQ176="1",BH176,0)</f>
        <v>0</v>
      </c>
      <c r="AC176" s="31">
        <f>IF(AQ176="1",BI176,0)</f>
        <v>0</v>
      </c>
      <c r="AD176" s="31">
        <f>IF(AQ176="7",BH176,0)</f>
        <v>0</v>
      </c>
      <c r="AE176" s="31">
        <f>IF(AQ176="7",BI176,0)</f>
        <v>0</v>
      </c>
      <c r="AF176" s="31">
        <f>IF(AQ176="2",BH176,0)</f>
        <v>0</v>
      </c>
      <c r="AG176" s="31">
        <f>IF(AQ176="2",BI176,0)</f>
        <v>0</v>
      </c>
      <c r="AH176" s="31">
        <f>IF(AQ176="0",BJ176,0)</f>
        <v>0</v>
      </c>
      <c r="AI176" s="42" t="s">
        <v>85</v>
      </c>
      <c r="AJ176" s="31">
        <f>IF(AN176=0,I176,0)</f>
        <v>0</v>
      </c>
      <c r="AK176" s="31">
        <f>IF(AN176=12,I176,0)</f>
        <v>0</v>
      </c>
      <c r="AL176" s="31">
        <f>IF(AN176=21,I176,0)</f>
        <v>0</v>
      </c>
      <c r="AN176" s="31">
        <v>21</v>
      </c>
      <c r="AO176" s="31">
        <f>H176*0.85161239807161</f>
        <v>0</v>
      </c>
      <c r="AP176" s="31">
        <f>H176*(1-0.85161239807161)</f>
        <v>0</v>
      </c>
      <c r="AQ176" s="32" t="s">
        <v>154</v>
      </c>
      <c r="AV176" s="31">
        <f>AW176+AX176</f>
        <v>0</v>
      </c>
      <c r="AW176" s="31">
        <f>G176*AO176</f>
        <v>0</v>
      </c>
      <c r="AX176" s="31">
        <f>G176*AP176</f>
        <v>0</v>
      </c>
      <c r="AY176" s="32" t="s">
        <v>340</v>
      </c>
      <c r="AZ176" s="32" t="s">
        <v>211</v>
      </c>
      <c r="BA176" s="42" t="s">
        <v>128</v>
      </c>
      <c r="BC176" s="31">
        <f>AW176+AX176</f>
        <v>0</v>
      </c>
      <c r="BD176" s="31">
        <f>H176/(100-BE176)*100</f>
        <v>0</v>
      </c>
      <c r="BE176" s="31">
        <v>0</v>
      </c>
      <c r="BF176" s="31">
        <f>K176</f>
        <v>0.0354</v>
      </c>
      <c r="BH176" s="31">
        <f>G176*AO176</f>
        <v>0</v>
      </c>
      <c r="BI176" s="31">
        <f>G176*AP176</f>
        <v>0</v>
      </c>
      <c r="BJ176" s="31">
        <f>G176*H176</f>
        <v>0</v>
      </c>
      <c r="BK176" s="31"/>
      <c r="BL176" s="31">
        <v>764</v>
      </c>
      <c r="BW176" s="31">
        <v>21</v>
      </c>
    </row>
    <row r="177" spans="1:12" ht="15" customHeight="1">
      <c r="A177" s="60"/>
      <c r="D177" s="61" t="s">
        <v>413</v>
      </c>
      <c r="E177" s="62"/>
      <c r="G177" s="63">
        <v>10</v>
      </c>
      <c r="L177" s="64"/>
    </row>
    <row r="178" spans="1:75" ht="13.5" customHeight="1">
      <c r="A178" s="30" t="s">
        <v>414</v>
      </c>
      <c r="B178" s="3" t="s">
        <v>85</v>
      </c>
      <c r="C178" s="3" t="s">
        <v>415</v>
      </c>
      <c r="D178" s="78" t="s">
        <v>416</v>
      </c>
      <c r="E178" s="78"/>
      <c r="F178" s="3" t="s">
        <v>124</v>
      </c>
      <c r="G178" s="31">
        <f>'Stavební rozpočet'!G166</f>
        <v>2.4</v>
      </c>
      <c r="H178" s="170">
        <v>0</v>
      </c>
      <c r="I178" s="31">
        <f>G178*H178</f>
        <v>0</v>
      </c>
      <c r="J178" s="31">
        <f>'Stavební rozpočet'!J166</f>
        <v>0.00585</v>
      </c>
      <c r="K178" s="31">
        <f>G178*J178</f>
        <v>0.01404</v>
      </c>
      <c r="L178" s="59" t="s">
        <v>125</v>
      </c>
      <c r="Z178" s="31">
        <f>IF(AQ178="5",BJ178,0)</f>
        <v>0</v>
      </c>
      <c r="AB178" s="31">
        <f>IF(AQ178="1",BH178,0)</f>
        <v>0</v>
      </c>
      <c r="AC178" s="31">
        <f>IF(AQ178="1",BI178,0)</f>
        <v>0</v>
      </c>
      <c r="AD178" s="31">
        <f>IF(AQ178="7",BH178,0)</f>
        <v>0</v>
      </c>
      <c r="AE178" s="31">
        <f>IF(AQ178="7",BI178,0)</f>
        <v>0</v>
      </c>
      <c r="AF178" s="31">
        <f>IF(AQ178="2",BH178,0)</f>
        <v>0</v>
      </c>
      <c r="AG178" s="31">
        <f>IF(AQ178="2",BI178,0)</f>
        <v>0</v>
      </c>
      <c r="AH178" s="31">
        <f>IF(AQ178="0",BJ178,0)</f>
        <v>0</v>
      </c>
      <c r="AI178" s="42" t="s">
        <v>85</v>
      </c>
      <c r="AJ178" s="31">
        <f>IF(AN178=0,I178,0)</f>
        <v>0</v>
      </c>
      <c r="AK178" s="31">
        <f>IF(AN178=12,I178,0)</f>
        <v>0</v>
      </c>
      <c r="AL178" s="31">
        <f>IF(AN178=21,I178,0)</f>
        <v>0</v>
      </c>
      <c r="AN178" s="31">
        <v>21</v>
      </c>
      <c r="AO178" s="31">
        <f>H178*0.753250327653997</f>
        <v>0</v>
      </c>
      <c r="AP178" s="31">
        <f>H178*(1-0.753250327653997)</f>
        <v>0</v>
      </c>
      <c r="AQ178" s="32" t="s">
        <v>154</v>
      </c>
      <c r="AV178" s="31">
        <f>AW178+AX178</f>
        <v>0</v>
      </c>
      <c r="AW178" s="31">
        <f>G178*AO178</f>
        <v>0</v>
      </c>
      <c r="AX178" s="31">
        <f>G178*AP178</f>
        <v>0</v>
      </c>
      <c r="AY178" s="32" t="s">
        <v>340</v>
      </c>
      <c r="AZ178" s="32" t="s">
        <v>211</v>
      </c>
      <c r="BA178" s="42" t="s">
        <v>128</v>
      </c>
      <c r="BC178" s="31">
        <f>AW178+AX178</f>
        <v>0</v>
      </c>
      <c r="BD178" s="31">
        <f>H178/(100-BE178)*100</f>
        <v>0</v>
      </c>
      <c r="BE178" s="31">
        <v>0</v>
      </c>
      <c r="BF178" s="31">
        <f>K178</f>
        <v>0.01404</v>
      </c>
      <c r="BH178" s="31">
        <f>G178*AO178</f>
        <v>0</v>
      </c>
      <c r="BI178" s="31">
        <f>G178*AP178</f>
        <v>0</v>
      </c>
      <c r="BJ178" s="31">
        <f>G178*H178</f>
        <v>0</v>
      </c>
      <c r="BK178" s="31"/>
      <c r="BL178" s="31">
        <v>764</v>
      </c>
      <c r="BW178" s="31">
        <v>21</v>
      </c>
    </row>
    <row r="179" spans="1:12" ht="15" customHeight="1">
      <c r="A179" s="60"/>
      <c r="D179" s="61" t="s">
        <v>417</v>
      </c>
      <c r="E179" s="62"/>
      <c r="G179" s="63">
        <v>2.4000000000000004</v>
      </c>
      <c r="L179" s="64"/>
    </row>
    <row r="180" spans="1:75" ht="13.5" customHeight="1">
      <c r="A180" s="30" t="s">
        <v>119</v>
      </c>
      <c r="B180" s="3" t="s">
        <v>85</v>
      </c>
      <c r="C180" s="3" t="s">
        <v>418</v>
      </c>
      <c r="D180" s="78" t="s">
        <v>419</v>
      </c>
      <c r="E180" s="78"/>
      <c r="F180" s="3" t="s">
        <v>209</v>
      </c>
      <c r="G180" s="31">
        <f>'Stavební rozpočet'!G168</f>
        <v>2.4</v>
      </c>
      <c r="H180" s="170">
        <v>0</v>
      </c>
      <c r="I180" s="31">
        <f>G180*H180</f>
        <v>0</v>
      </c>
      <c r="J180" s="31">
        <f>'Stavební rozpočet'!J168</f>
        <v>0.00689</v>
      </c>
      <c r="K180" s="31">
        <f>G180*J180</f>
        <v>0.016536</v>
      </c>
      <c r="L180" s="59" t="s">
        <v>125</v>
      </c>
      <c r="Z180" s="31">
        <f>IF(AQ180="5",BJ180,0)</f>
        <v>0</v>
      </c>
      <c r="AB180" s="31">
        <f>IF(AQ180="1",BH180,0)</f>
        <v>0</v>
      </c>
      <c r="AC180" s="31">
        <f>IF(AQ180="1",BI180,0)</f>
        <v>0</v>
      </c>
      <c r="AD180" s="31">
        <f>IF(AQ180="7",BH180,0)</f>
        <v>0</v>
      </c>
      <c r="AE180" s="31">
        <f>IF(AQ180="7",BI180,0)</f>
        <v>0</v>
      </c>
      <c r="AF180" s="31">
        <f>IF(AQ180="2",BH180,0)</f>
        <v>0</v>
      </c>
      <c r="AG180" s="31">
        <f>IF(AQ180="2",BI180,0)</f>
        <v>0</v>
      </c>
      <c r="AH180" s="31">
        <f>IF(AQ180="0",BJ180,0)</f>
        <v>0</v>
      </c>
      <c r="AI180" s="42" t="s">
        <v>85</v>
      </c>
      <c r="AJ180" s="31">
        <f>IF(AN180=0,I180,0)</f>
        <v>0</v>
      </c>
      <c r="AK180" s="31">
        <f>IF(AN180=12,I180,0)</f>
        <v>0</v>
      </c>
      <c r="AL180" s="31">
        <f>IF(AN180=21,I180,0)</f>
        <v>0</v>
      </c>
      <c r="AN180" s="31">
        <v>21</v>
      </c>
      <c r="AO180" s="31">
        <f>H180*0.800421393841167</f>
        <v>0</v>
      </c>
      <c r="AP180" s="31">
        <f>H180*(1-0.800421393841167)</f>
        <v>0</v>
      </c>
      <c r="AQ180" s="32" t="s">
        <v>154</v>
      </c>
      <c r="AV180" s="31">
        <f>AW180+AX180</f>
        <v>0</v>
      </c>
      <c r="AW180" s="31">
        <f>G180*AO180</f>
        <v>0</v>
      </c>
      <c r="AX180" s="31">
        <f>G180*AP180</f>
        <v>0</v>
      </c>
      <c r="AY180" s="32" t="s">
        <v>340</v>
      </c>
      <c r="AZ180" s="32" t="s">
        <v>211</v>
      </c>
      <c r="BA180" s="42" t="s">
        <v>128</v>
      </c>
      <c r="BC180" s="31">
        <f>AW180+AX180</f>
        <v>0</v>
      </c>
      <c r="BD180" s="31">
        <f>H180/(100-BE180)*100</f>
        <v>0</v>
      </c>
      <c r="BE180" s="31">
        <v>0</v>
      </c>
      <c r="BF180" s="31">
        <f>K180</f>
        <v>0.016536</v>
      </c>
      <c r="BH180" s="31">
        <f>G180*AO180</f>
        <v>0</v>
      </c>
      <c r="BI180" s="31">
        <f>G180*AP180</f>
        <v>0</v>
      </c>
      <c r="BJ180" s="31">
        <f>G180*H180</f>
        <v>0</v>
      </c>
      <c r="BK180" s="31"/>
      <c r="BL180" s="31">
        <v>764</v>
      </c>
      <c r="BW180" s="31">
        <v>21</v>
      </c>
    </row>
    <row r="181" spans="1:12" ht="13.5" customHeight="1">
      <c r="A181" s="60"/>
      <c r="D181" s="123" t="s">
        <v>420</v>
      </c>
      <c r="E181" s="123"/>
      <c r="F181" s="123"/>
      <c r="G181" s="123"/>
      <c r="H181" s="123"/>
      <c r="I181" s="123"/>
      <c r="J181" s="123"/>
      <c r="K181" s="123"/>
      <c r="L181" s="123"/>
    </row>
    <row r="182" spans="1:12" ht="15" customHeight="1">
      <c r="A182" s="60"/>
      <c r="D182" s="61" t="s">
        <v>421</v>
      </c>
      <c r="E182" s="62"/>
      <c r="G182" s="63">
        <v>2.4000000000000004</v>
      </c>
      <c r="L182" s="64"/>
    </row>
    <row r="183" spans="1:75" ht="13.5" customHeight="1">
      <c r="A183" s="30" t="s">
        <v>422</v>
      </c>
      <c r="B183" s="3" t="s">
        <v>85</v>
      </c>
      <c r="C183" s="3" t="s">
        <v>423</v>
      </c>
      <c r="D183" s="78" t="s">
        <v>424</v>
      </c>
      <c r="E183" s="78"/>
      <c r="F183" s="3" t="s">
        <v>61</v>
      </c>
      <c r="G183" s="31">
        <f>'Stavební rozpočet'!G170</f>
        <v>7200</v>
      </c>
      <c r="H183" s="170">
        <v>0</v>
      </c>
      <c r="I183" s="31">
        <f>G183*H183</f>
        <v>0</v>
      </c>
      <c r="J183" s="31">
        <f>'Stavební rozpočet'!J170</f>
        <v>0</v>
      </c>
      <c r="K183" s="31">
        <f>G183*J183</f>
        <v>0</v>
      </c>
      <c r="L183" s="59" t="s">
        <v>125</v>
      </c>
      <c r="Z183" s="31">
        <f>IF(AQ183="5",BJ183,0)</f>
        <v>0</v>
      </c>
      <c r="AB183" s="31">
        <f>IF(AQ183="1",BH183,0)</f>
        <v>0</v>
      </c>
      <c r="AC183" s="31">
        <f>IF(AQ183="1",BI183,0)</f>
        <v>0</v>
      </c>
      <c r="AD183" s="31">
        <f>IF(AQ183="7",BH183,0)</f>
        <v>0</v>
      </c>
      <c r="AE183" s="31">
        <f>IF(AQ183="7",BI183,0)</f>
        <v>0</v>
      </c>
      <c r="AF183" s="31">
        <f>IF(AQ183="2",BH183,0)</f>
        <v>0</v>
      </c>
      <c r="AG183" s="31">
        <f>IF(AQ183="2",BI183,0)</f>
        <v>0</v>
      </c>
      <c r="AH183" s="31">
        <f>IF(AQ183="0",BJ183,0)</f>
        <v>0</v>
      </c>
      <c r="AI183" s="42" t="s">
        <v>85</v>
      </c>
      <c r="AJ183" s="31">
        <f>IF(AN183=0,I183,0)</f>
        <v>0</v>
      </c>
      <c r="AK183" s="31">
        <f>IF(AN183=12,I183,0)</f>
        <v>0</v>
      </c>
      <c r="AL183" s="31">
        <f>IF(AN183=21,I183,0)</f>
        <v>0</v>
      </c>
      <c r="AN183" s="31">
        <v>21</v>
      </c>
      <c r="AO183" s="31">
        <f>H183*0</f>
        <v>0</v>
      </c>
      <c r="AP183" s="31">
        <f>H183*(1-0)</f>
        <v>0</v>
      </c>
      <c r="AQ183" s="32" t="s">
        <v>146</v>
      </c>
      <c r="AV183" s="31">
        <f>AW183+AX183</f>
        <v>0</v>
      </c>
      <c r="AW183" s="31">
        <f>G183*AO183</f>
        <v>0</v>
      </c>
      <c r="AX183" s="31">
        <f>G183*AP183</f>
        <v>0</v>
      </c>
      <c r="AY183" s="32" t="s">
        <v>340</v>
      </c>
      <c r="AZ183" s="32" t="s">
        <v>211</v>
      </c>
      <c r="BA183" s="42" t="s">
        <v>128</v>
      </c>
      <c r="BC183" s="31">
        <f>AW183+AX183</f>
        <v>0</v>
      </c>
      <c r="BD183" s="31">
        <f>H183/(100-BE183)*100</f>
        <v>0</v>
      </c>
      <c r="BE183" s="31">
        <v>0</v>
      </c>
      <c r="BF183" s="31">
        <f>K183</f>
        <v>0</v>
      </c>
      <c r="BH183" s="31">
        <f>G183*AO183</f>
        <v>0</v>
      </c>
      <c r="BI183" s="31">
        <f>G183*AP183</f>
        <v>0</v>
      </c>
      <c r="BJ183" s="31">
        <f>G183*H183</f>
        <v>0</v>
      </c>
      <c r="BK183" s="31"/>
      <c r="BL183" s="31">
        <v>764</v>
      </c>
      <c r="BW183" s="31">
        <v>21</v>
      </c>
    </row>
    <row r="184" spans="1:12" ht="15" customHeight="1">
      <c r="A184" s="60"/>
      <c r="D184" s="61" t="s">
        <v>425</v>
      </c>
      <c r="E184" s="62"/>
      <c r="G184" s="63">
        <v>7200.000000000001</v>
      </c>
      <c r="L184" s="64"/>
    </row>
    <row r="185" spans="1:47" ht="15" customHeight="1">
      <c r="A185" s="55"/>
      <c r="B185" s="56" t="s">
        <v>85</v>
      </c>
      <c r="C185" s="56" t="s">
        <v>426</v>
      </c>
      <c r="D185" s="122" t="s">
        <v>427</v>
      </c>
      <c r="E185" s="122"/>
      <c r="F185" s="57" t="s">
        <v>79</v>
      </c>
      <c r="G185" s="57" t="s">
        <v>79</v>
      </c>
      <c r="H185" s="57" t="s">
        <v>79</v>
      </c>
      <c r="I185" s="36">
        <f>SUM(I186:I247)</f>
        <v>0</v>
      </c>
      <c r="J185" s="42"/>
      <c r="K185" s="36">
        <f>SUM(K186:K247)</f>
        <v>84.80012378100001</v>
      </c>
      <c r="L185" s="58"/>
      <c r="AI185" s="42" t="s">
        <v>85</v>
      </c>
      <c r="AS185" s="36">
        <f>SUM(AJ186:AJ247)</f>
        <v>0</v>
      </c>
      <c r="AT185" s="36">
        <f>SUM(AK186:AK247)</f>
        <v>0</v>
      </c>
      <c r="AU185" s="36">
        <f>SUM(AL186:AL247)</f>
        <v>0</v>
      </c>
    </row>
    <row r="186" spans="1:75" ht="13.5" customHeight="1">
      <c r="A186" s="30" t="s">
        <v>139</v>
      </c>
      <c r="B186" s="3" t="s">
        <v>85</v>
      </c>
      <c r="C186" s="3" t="s">
        <v>428</v>
      </c>
      <c r="D186" s="78" t="s">
        <v>429</v>
      </c>
      <c r="E186" s="78"/>
      <c r="F186" s="3" t="s">
        <v>124</v>
      </c>
      <c r="G186" s="31">
        <f>'Stavební rozpočet'!G173</f>
        <v>542.9934</v>
      </c>
      <c r="H186" s="170">
        <v>0</v>
      </c>
      <c r="I186" s="31">
        <f>G186*H186</f>
        <v>0</v>
      </c>
      <c r="J186" s="31">
        <f>'Stavební rozpočet'!J173</f>
        <v>0.067</v>
      </c>
      <c r="K186" s="31">
        <f>G186*J186</f>
        <v>36.3805578</v>
      </c>
      <c r="L186" s="59" t="s">
        <v>125</v>
      </c>
      <c r="Z186" s="31">
        <f>IF(AQ186="5",BJ186,0)</f>
        <v>0</v>
      </c>
      <c r="AB186" s="31">
        <f>IF(AQ186="1",BH186,0)</f>
        <v>0</v>
      </c>
      <c r="AC186" s="31">
        <f>IF(AQ186="1",BI186,0)</f>
        <v>0</v>
      </c>
      <c r="AD186" s="31">
        <f>IF(AQ186="7",BH186,0)</f>
        <v>0</v>
      </c>
      <c r="AE186" s="31">
        <f>IF(AQ186="7",BI186,0)</f>
        <v>0</v>
      </c>
      <c r="AF186" s="31">
        <f>IF(AQ186="2",BH186,0)</f>
        <v>0</v>
      </c>
      <c r="AG186" s="31">
        <f>IF(AQ186="2",BI186,0)</f>
        <v>0</v>
      </c>
      <c r="AH186" s="31">
        <f>IF(AQ186="0",BJ186,0)</f>
        <v>0</v>
      </c>
      <c r="AI186" s="42" t="s">
        <v>85</v>
      </c>
      <c r="AJ186" s="31">
        <f>IF(AN186=0,I186,0)</f>
        <v>0</v>
      </c>
      <c r="AK186" s="31">
        <f>IF(AN186=12,I186,0)</f>
        <v>0</v>
      </c>
      <c r="AL186" s="31">
        <f>IF(AN186=21,I186,0)</f>
        <v>0</v>
      </c>
      <c r="AN186" s="31">
        <v>21</v>
      </c>
      <c r="AO186" s="31">
        <f>H186*0</f>
        <v>0</v>
      </c>
      <c r="AP186" s="31">
        <f>H186*(1-0)</f>
        <v>0</v>
      </c>
      <c r="AQ186" s="32" t="s">
        <v>154</v>
      </c>
      <c r="AV186" s="31">
        <f>AW186+AX186</f>
        <v>0</v>
      </c>
      <c r="AW186" s="31">
        <f>G186*AO186</f>
        <v>0</v>
      </c>
      <c r="AX186" s="31">
        <f>G186*AP186</f>
        <v>0</v>
      </c>
      <c r="AY186" s="32" t="s">
        <v>430</v>
      </c>
      <c r="AZ186" s="32" t="s">
        <v>211</v>
      </c>
      <c r="BA186" s="42" t="s">
        <v>128</v>
      </c>
      <c r="BC186" s="31">
        <f>AW186+AX186</f>
        <v>0</v>
      </c>
      <c r="BD186" s="31">
        <f>H186/(100-BE186)*100</f>
        <v>0</v>
      </c>
      <c r="BE186" s="31">
        <v>0</v>
      </c>
      <c r="BF186" s="31">
        <f>K186</f>
        <v>36.3805578</v>
      </c>
      <c r="BH186" s="31">
        <f>G186*AO186</f>
        <v>0</v>
      </c>
      <c r="BI186" s="31">
        <f>G186*AP186</f>
        <v>0</v>
      </c>
      <c r="BJ186" s="31">
        <f>G186*H186</f>
        <v>0</v>
      </c>
      <c r="BK186" s="31"/>
      <c r="BL186" s="31">
        <v>765</v>
      </c>
      <c r="BW186" s="31">
        <v>21</v>
      </c>
    </row>
    <row r="187" spans="1:12" ht="27" customHeight="1">
      <c r="A187" s="60"/>
      <c r="D187" s="123" t="s">
        <v>431</v>
      </c>
      <c r="E187" s="123"/>
      <c r="F187" s="123"/>
      <c r="G187" s="123"/>
      <c r="H187" s="123"/>
      <c r="I187" s="123"/>
      <c r="J187" s="123"/>
      <c r="K187" s="123"/>
      <c r="L187" s="123"/>
    </row>
    <row r="188" spans="1:12" ht="15" customHeight="1">
      <c r="A188" s="60"/>
      <c r="D188" s="61" t="s">
        <v>432</v>
      </c>
      <c r="E188" s="62"/>
      <c r="G188" s="63">
        <v>219.36165000000003</v>
      </c>
      <c r="L188" s="64"/>
    </row>
    <row r="189" spans="1:12" ht="15" customHeight="1">
      <c r="A189" s="60"/>
      <c r="D189" s="61" t="s">
        <v>433</v>
      </c>
      <c r="E189" s="62"/>
      <c r="G189" s="63">
        <v>59.85956</v>
      </c>
      <c r="L189" s="64"/>
    </row>
    <row r="190" spans="1:12" ht="15" customHeight="1">
      <c r="A190" s="60"/>
      <c r="D190" s="61" t="s">
        <v>434</v>
      </c>
      <c r="E190" s="62"/>
      <c r="G190" s="63">
        <v>100.93993</v>
      </c>
      <c r="L190" s="64"/>
    </row>
    <row r="191" spans="1:12" ht="15" customHeight="1">
      <c r="A191" s="60"/>
      <c r="D191" s="61" t="s">
        <v>435</v>
      </c>
      <c r="E191" s="62"/>
      <c r="G191" s="63">
        <v>45.327000000000005</v>
      </c>
      <c r="L191" s="64"/>
    </row>
    <row r="192" spans="1:12" ht="15" customHeight="1">
      <c r="A192" s="60"/>
      <c r="D192" s="61" t="s">
        <v>436</v>
      </c>
      <c r="E192" s="62"/>
      <c r="G192" s="63">
        <v>33.81535</v>
      </c>
      <c r="L192" s="64"/>
    </row>
    <row r="193" spans="1:12" ht="15" customHeight="1">
      <c r="A193" s="60"/>
      <c r="D193" s="61" t="s">
        <v>437</v>
      </c>
      <c r="E193" s="62"/>
      <c r="G193" s="63">
        <v>40.969910000000006</v>
      </c>
      <c r="L193" s="64"/>
    </row>
    <row r="194" spans="1:12" ht="15" customHeight="1">
      <c r="A194" s="60"/>
      <c r="D194" s="61" t="s">
        <v>438</v>
      </c>
      <c r="E194" s="62"/>
      <c r="G194" s="63">
        <v>42.720000000000006</v>
      </c>
      <c r="L194" s="64"/>
    </row>
    <row r="195" spans="1:75" ht="13.5" customHeight="1">
      <c r="A195" s="30" t="s">
        <v>439</v>
      </c>
      <c r="B195" s="3" t="s">
        <v>85</v>
      </c>
      <c r="C195" s="3" t="s">
        <v>440</v>
      </c>
      <c r="D195" s="78" t="s">
        <v>441</v>
      </c>
      <c r="E195" s="78"/>
      <c r="F195" s="3" t="s">
        <v>124</v>
      </c>
      <c r="G195" s="31">
        <f>'Stavební rozpočet'!G181</f>
        <v>542.994</v>
      </c>
      <c r="H195" s="170">
        <v>0</v>
      </c>
      <c r="I195" s="31">
        <f>G195*H195</f>
        <v>0</v>
      </c>
      <c r="J195" s="31">
        <f>'Stavební rozpočet'!J181</f>
        <v>1E-05</v>
      </c>
      <c r="K195" s="31">
        <f>G195*J195</f>
        <v>0.005429940000000001</v>
      </c>
      <c r="L195" s="59" t="s">
        <v>125</v>
      </c>
      <c r="Z195" s="31">
        <f>IF(AQ195="5",BJ195,0)</f>
        <v>0</v>
      </c>
      <c r="AB195" s="31">
        <f>IF(AQ195="1",BH195,0)</f>
        <v>0</v>
      </c>
      <c r="AC195" s="31">
        <f>IF(AQ195="1",BI195,0)</f>
        <v>0</v>
      </c>
      <c r="AD195" s="31">
        <f>IF(AQ195="7",BH195,0)</f>
        <v>0</v>
      </c>
      <c r="AE195" s="31">
        <f>IF(AQ195="7",BI195,0)</f>
        <v>0</v>
      </c>
      <c r="AF195" s="31">
        <f>IF(AQ195="2",BH195,0)</f>
        <v>0</v>
      </c>
      <c r="AG195" s="31">
        <f>IF(AQ195="2",BI195,0)</f>
        <v>0</v>
      </c>
      <c r="AH195" s="31">
        <f>IF(AQ195="0",BJ195,0)</f>
        <v>0</v>
      </c>
      <c r="AI195" s="42" t="s">
        <v>85</v>
      </c>
      <c r="AJ195" s="31">
        <f>IF(AN195=0,I195,0)</f>
        <v>0</v>
      </c>
      <c r="AK195" s="31">
        <f>IF(AN195=12,I195,0)</f>
        <v>0</v>
      </c>
      <c r="AL195" s="31">
        <f>IF(AN195=21,I195,0)</f>
        <v>0</v>
      </c>
      <c r="AN195" s="31">
        <v>21</v>
      </c>
      <c r="AO195" s="31">
        <f>H195*0.0403227339561272</f>
        <v>0</v>
      </c>
      <c r="AP195" s="31">
        <f>H195*(1-0.0403227339561272)</f>
        <v>0</v>
      </c>
      <c r="AQ195" s="32" t="s">
        <v>154</v>
      </c>
      <c r="AV195" s="31">
        <f>AW195+AX195</f>
        <v>0</v>
      </c>
      <c r="AW195" s="31">
        <f>G195*AO195</f>
        <v>0</v>
      </c>
      <c r="AX195" s="31">
        <f>G195*AP195</f>
        <v>0</v>
      </c>
      <c r="AY195" s="32" t="s">
        <v>430</v>
      </c>
      <c r="AZ195" s="32" t="s">
        <v>211</v>
      </c>
      <c r="BA195" s="42" t="s">
        <v>128</v>
      </c>
      <c r="BC195" s="31">
        <f>AW195+AX195</f>
        <v>0</v>
      </c>
      <c r="BD195" s="31">
        <f>H195/(100-BE195)*100</f>
        <v>0</v>
      </c>
      <c r="BE195" s="31">
        <v>0</v>
      </c>
      <c r="BF195" s="31">
        <f>K195</f>
        <v>0.005429940000000001</v>
      </c>
      <c r="BH195" s="31">
        <f>G195*AO195</f>
        <v>0</v>
      </c>
      <c r="BI195" s="31">
        <f>G195*AP195</f>
        <v>0</v>
      </c>
      <c r="BJ195" s="31">
        <f>G195*H195</f>
        <v>0</v>
      </c>
      <c r="BK195" s="31"/>
      <c r="BL195" s="31">
        <v>765</v>
      </c>
      <c r="BW195" s="31">
        <v>21</v>
      </c>
    </row>
    <row r="196" spans="1:12" ht="15" customHeight="1">
      <c r="A196" s="60"/>
      <c r="D196" s="61" t="s">
        <v>237</v>
      </c>
      <c r="E196" s="62"/>
      <c r="G196" s="63">
        <v>542.994</v>
      </c>
      <c r="L196" s="64"/>
    </row>
    <row r="197" spans="1:75" ht="13.5" customHeight="1">
      <c r="A197" s="30" t="s">
        <v>442</v>
      </c>
      <c r="B197" s="3" t="s">
        <v>85</v>
      </c>
      <c r="C197" s="3" t="s">
        <v>443</v>
      </c>
      <c r="D197" s="78" t="s">
        <v>444</v>
      </c>
      <c r="E197" s="78"/>
      <c r="F197" s="3" t="s">
        <v>209</v>
      </c>
      <c r="G197" s="31">
        <f>'Stavební rozpočet'!G183</f>
        <v>113.7</v>
      </c>
      <c r="H197" s="170">
        <v>0</v>
      </c>
      <c r="I197" s="31">
        <f>G197*H197</f>
        <v>0</v>
      </c>
      <c r="J197" s="31">
        <f>'Stavební rozpočet'!J183</f>
        <v>0.023</v>
      </c>
      <c r="K197" s="31">
        <f>G197*J197</f>
        <v>2.6151</v>
      </c>
      <c r="L197" s="59" t="s">
        <v>125</v>
      </c>
      <c r="Z197" s="31">
        <f>IF(AQ197="5",BJ197,0)</f>
        <v>0</v>
      </c>
      <c r="AB197" s="31">
        <f>IF(AQ197="1",BH197,0)</f>
        <v>0</v>
      </c>
      <c r="AC197" s="31">
        <f>IF(AQ197="1",BI197,0)</f>
        <v>0</v>
      </c>
      <c r="AD197" s="31">
        <f>IF(AQ197="7",BH197,0)</f>
        <v>0</v>
      </c>
      <c r="AE197" s="31">
        <f>IF(AQ197="7",BI197,0)</f>
        <v>0</v>
      </c>
      <c r="AF197" s="31">
        <f>IF(AQ197="2",BH197,0)</f>
        <v>0</v>
      </c>
      <c r="AG197" s="31">
        <f>IF(AQ197="2",BI197,0)</f>
        <v>0</v>
      </c>
      <c r="AH197" s="31">
        <f>IF(AQ197="0",BJ197,0)</f>
        <v>0</v>
      </c>
      <c r="AI197" s="42" t="s">
        <v>85</v>
      </c>
      <c r="AJ197" s="31">
        <f>IF(AN197=0,I197,0)</f>
        <v>0</v>
      </c>
      <c r="AK197" s="31">
        <f>IF(AN197=12,I197,0)</f>
        <v>0</v>
      </c>
      <c r="AL197" s="31">
        <f>IF(AN197=21,I197,0)</f>
        <v>0</v>
      </c>
      <c r="AN197" s="31">
        <v>21</v>
      </c>
      <c r="AO197" s="31">
        <f>H197*0</f>
        <v>0</v>
      </c>
      <c r="AP197" s="31">
        <f>H197*(1-0)</f>
        <v>0</v>
      </c>
      <c r="AQ197" s="32" t="s">
        <v>154</v>
      </c>
      <c r="AV197" s="31">
        <f>AW197+AX197</f>
        <v>0</v>
      </c>
      <c r="AW197" s="31">
        <f>G197*AO197</f>
        <v>0</v>
      </c>
      <c r="AX197" s="31">
        <f>G197*AP197</f>
        <v>0</v>
      </c>
      <c r="AY197" s="32" t="s">
        <v>430</v>
      </c>
      <c r="AZ197" s="32" t="s">
        <v>211</v>
      </c>
      <c r="BA197" s="42" t="s">
        <v>128</v>
      </c>
      <c r="BC197" s="31">
        <f>AW197+AX197</f>
        <v>0</v>
      </c>
      <c r="BD197" s="31">
        <f>H197/(100-BE197)*100</f>
        <v>0</v>
      </c>
      <c r="BE197" s="31">
        <v>0</v>
      </c>
      <c r="BF197" s="31">
        <f>K197</f>
        <v>2.6151</v>
      </c>
      <c r="BH197" s="31">
        <f>G197*AO197</f>
        <v>0</v>
      </c>
      <c r="BI197" s="31">
        <f>G197*AP197</f>
        <v>0</v>
      </c>
      <c r="BJ197" s="31">
        <f>G197*H197</f>
        <v>0</v>
      </c>
      <c r="BK197" s="31"/>
      <c r="BL197" s="31">
        <v>765</v>
      </c>
      <c r="BW197" s="31">
        <v>21</v>
      </c>
    </row>
    <row r="198" spans="1:12" ht="15" customHeight="1">
      <c r="A198" s="60"/>
      <c r="D198" s="61" t="s">
        <v>445</v>
      </c>
      <c r="E198" s="62"/>
      <c r="G198" s="63">
        <v>113.7</v>
      </c>
      <c r="L198" s="64"/>
    </row>
    <row r="199" spans="1:75" ht="13.5" customHeight="1">
      <c r="A199" s="30" t="s">
        <v>446</v>
      </c>
      <c r="B199" s="3" t="s">
        <v>85</v>
      </c>
      <c r="C199" s="3" t="s">
        <v>447</v>
      </c>
      <c r="D199" s="78" t="s">
        <v>448</v>
      </c>
      <c r="E199" s="78"/>
      <c r="F199" s="3" t="s">
        <v>449</v>
      </c>
      <c r="G199" s="31">
        <f>'Stavební rozpočet'!G185</f>
        <v>3</v>
      </c>
      <c r="H199" s="170">
        <v>0</v>
      </c>
      <c r="I199" s="31">
        <f>G199*H199</f>
        <v>0</v>
      </c>
      <c r="J199" s="31">
        <f>'Stavební rozpočet'!J185</f>
        <v>0</v>
      </c>
      <c r="K199" s="31">
        <f>G199*J199</f>
        <v>0</v>
      </c>
      <c r="L199" s="59"/>
      <c r="Z199" s="31">
        <f>IF(AQ199="5",BJ199,0)</f>
        <v>0</v>
      </c>
      <c r="AB199" s="31">
        <f>IF(AQ199="1",BH199,0)</f>
        <v>0</v>
      </c>
      <c r="AC199" s="31">
        <f>IF(AQ199="1",BI199,0)</f>
        <v>0</v>
      </c>
      <c r="AD199" s="31">
        <f>IF(AQ199="7",BH199,0)</f>
        <v>0</v>
      </c>
      <c r="AE199" s="31">
        <f>IF(AQ199="7",BI199,0)</f>
        <v>0</v>
      </c>
      <c r="AF199" s="31">
        <f>IF(AQ199="2",BH199,0)</f>
        <v>0</v>
      </c>
      <c r="AG199" s="31">
        <f>IF(AQ199="2",BI199,0)</f>
        <v>0</v>
      </c>
      <c r="AH199" s="31">
        <f>IF(AQ199="0",BJ199,0)</f>
        <v>0</v>
      </c>
      <c r="AI199" s="42" t="s">
        <v>85</v>
      </c>
      <c r="AJ199" s="31">
        <f>IF(AN199=0,I199,0)</f>
        <v>0</v>
      </c>
      <c r="AK199" s="31">
        <f>IF(AN199=12,I199,0)</f>
        <v>0</v>
      </c>
      <c r="AL199" s="31">
        <f>IF(AN199=21,I199,0)</f>
        <v>0</v>
      </c>
      <c r="AN199" s="31">
        <v>21</v>
      </c>
      <c r="AO199" s="31">
        <f>H199*0</f>
        <v>0</v>
      </c>
      <c r="AP199" s="31">
        <f>H199*(1-0)</f>
        <v>0</v>
      </c>
      <c r="AQ199" s="32" t="s">
        <v>154</v>
      </c>
      <c r="AV199" s="31">
        <f>AW199+AX199</f>
        <v>0</v>
      </c>
      <c r="AW199" s="31">
        <f>G199*AO199</f>
        <v>0</v>
      </c>
      <c r="AX199" s="31">
        <f>G199*AP199</f>
        <v>0</v>
      </c>
      <c r="AY199" s="32" t="s">
        <v>430</v>
      </c>
      <c r="AZ199" s="32" t="s">
        <v>211</v>
      </c>
      <c r="BA199" s="42" t="s">
        <v>128</v>
      </c>
      <c r="BC199" s="31">
        <f>AW199+AX199</f>
        <v>0</v>
      </c>
      <c r="BD199" s="31">
        <f>H199/(100-BE199)*100</f>
        <v>0</v>
      </c>
      <c r="BE199" s="31">
        <v>0</v>
      </c>
      <c r="BF199" s="31">
        <f>K199</f>
        <v>0</v>
      </c>
      <c r="BH199" s="31">
        <f>G199*AO199</f>
        <v>0</v>
      </c>
      <c r="BI199" s="31">
        <f>G199*AP199</f>
        <v>0</v>
      </c>
      <c r="BJ199" s="31">
        <f>G199*H199</f>
        <v>0</v>
      </c>
      <c r="BK199" s="31"/>
      <c r="BL199" s="31">
        <v>765</v>
      </c>
      <c r="BW199" s="31">
        <v>21</v>
      </c>
    </row>
    <row r="200" spans="1:12" ht="15" customHeight="1">
      <c r="A200" s="60"/>
      <c r="D200" s="61" t="s">
        <v>134</v>
      </c>
      <c r="E200" s="62"/>
      <c r="G200" s="63">
        <v>3.0000000000000004</v>
      </c>
      <c r="L200" s="64"/>
    </row>
    <row r="201" spans="1:75" ht="13.5" customHeight="1">
      <c r="A201" s="30" t="s">
        <v>450</v>
      </c>
      <c r="B201" s="3" t="s">
        <v>85</v>
      </c>
      <c r="C201" s="3" t="s">
        <v>451</v>
      </c>
      <c r="D201" s="78" t="s">
        <v>452</v>
      </c>
      <c r="E201" s="78"/>
      <c r="F201" s="3" t="s">
        <v>209</v>
      </c>
      <c r="G201" s="31">
        <f>'Stavební rozpočet'!G187</f>
        <v>296.8</v>
      </c>
      <c r="H201" s="170">
        <v>0</v>
      </c>
      <c r="I201" s="31">
        <f>G201*H201</f>
        <v>0</v>
      </c>
      <c r="J201" s="31">
        <f>'Stavební rozpočet'!J187</f>
        <v>1E-05</v>
      </c>
      <c r="K201" s="31">
        <f>G201*J201</f>
        <v>0.002968</v>
      </c>
      <c r="L201" s="59" t="s">
        <v>125</v>
      </c>
      <c r="Z201" s="31">
        <f>IF(AQ201="5",BJ201,0)</f>
        <v>0</v>
      </c>
      <c r="AB201" s="31">
        <f>IF(AQ201="1",BH201,0)</f>
        <v>0</v>
      </c>
      <c r="AC201" s="31">
        <f>IF(AQ201="1",BI201,0)</f>
        <v>0</v>
      </c>
      <c r="AD201" s="31">
        <f>IF(AQ201="7",BH201,0)</f>
        <v>0</v>
      </c>
      <c r="AE201" s="31">
        <f>IF(AQ201="7",BI201,0)</f>
        <v>0</v>
      </c>
      <c r="AF201" s="31">
        <f>IF(AQ201="2",BH201,0)</f>
        <v>0</v>
      </c>
      <c r="AG201" s="31">
        <f>IF(AQ201="2",BI201,0)</f>
        <v>0</v>
      </c>
      <c r="AH201" s="31">
        <f>IF(AQ201="0",BJ201,0)</f>
        <v>0</v>
      </c>
      <c r="AI201" s="42" t="s">
        <v>85</v>
      </c>
      <c r="AJ201" s="31">
        <f>IF(AN201=0,I201,0)</f>
        <v>0</v>
      </c>
      <c r="AK201" s="31">
        <f>IF(AN201=12,I201,0)</f>
        <v>0</v>
      </c>
      <c r="AL201" s="31">
        <f>IF(AN201=21,I201,0)</f>
        <v>0</v>
      </c>
      <c r="AN201" s="31">
        <v>21</v>
      </c>
      <c r="AO201" s="31">
        <f>H201*0.0500714498712118</f>
        <v>0</v>
      </c>
      <c r="AP201" s="31">
        <f>H201*(1-0.0500714498712118)</f>
        <v>0</v>
      </c>
      <c r="AQ201" s="32" t="s">
        <v>154</v>
      </c>
      <c r="AV201" s="31">
        <f>AW201+AX201</f>
        <v>0</v>
      </c>
      <c r="AW201" s="31">
        <f>G201*AO201</f>
        <v>0</v>
      </c>
      <c r="AX201" s="31">
        <f>G201*AP201</f>
        <v>0</v>
      </c>
      <c r="AY201" s="32" t="s">
        <v>430</v>
      </c>
      <c r="AZ201" s="32" t="s">
        <v>211</v>
      </c>
      <c r="BA201" s="42" t="s">
        <v>128</v>
      </c>
      <c r="BC201" s="31">
        <f>AW201+AX201</f>
        <v>0</v>
      </c>
      <c r="BD201" s="31">
        <f>H201/(100-BE201)*100</f>
        <v>0</v>
      </c>
      <c r="BE201" s="31">
        <v>0</v>
      </c>
      <c r="BF201" s="31">
        <f>K201</f>
        <v>0.002968</v>
      </c>
      <c r="BH201" s="31">
        <f>G201*AO201</f>
        <v>0</v>
      </c>
      <c r="BI201" s="31">
        <f>G201*AP201</f>
        <v>0</v>
      </c>
      <c r="BJ201" s="31">
        <f>G201*H201</f>
        <v>0</v>
      </c>
      <c r="BK201" s="31"/>
      <c r="BL201" s="31">
        <v>765</v>
      </c>
      <c r="BW201" s="31">
        <v>21</v>
      </c>
    </row>
    <row r="202" spans="1:12" ht="15" customHeight="1">
      <c r="A202" s="60"/>
      <c r="D202" s="61" t="s">
        <v>453</v>
      </c>
      <c r="E202" s="62"/>
      <c r="G202" s="63">
        <v>296.8</v>
      </c>
      <c r="L202" s="64"/>
    </row>
    <row r="203" spans="1:75" ht="13.5" customHeight="1">
      <c r="A203" s="30" t="s">
        <v>454</v>
      </c>
      <c r="B203" s="3" t="s">
        <v>85</v>
      </c>
      <c r="C203" s="3" t="s">
        <v>455</v>
      </c>
      <c r="D203" s="78" t="s">
        <v>456</v>
      </c>
      <c r="E203" s="78"/>
      <c r="F203" s="3" t="s">
        <v>209</v>
      </c>
      <c r="G203" s="31">
        <f>'Stavební rozpočet'!G189</f>
        <v>92.5</v>
      </c>
      <c r="H203" s="170">
        <v>0</v>
      </c>
      <c r="I203" s="31">
        <f>G203*H203</f>
        <v>0</v>
      </c>
      <c r="J203" s="31">
        <f>'Stavební rozpočet'!J189</f>
        <v>0.01428</v>
      </c>
      <c r="K203" s="31">
        <f>G203*J203</f>
        <v>1.3209</v>
      </c>
      <c r="L203" s="59" t="s">
        <v>125</v>
      </c>
      <c r="Z203" s="31">
        <f>IF(AQ203="5",BJ203,0)</f>
        <v>0</v>
      </c>
      <c r="AB203" s="31">
        <f>IF(AQ203="1",BH203,0)</f>
        <v>0</v>
      </c>
      <c r="AC203" s="31">
        <f>IF(AQ203="1",BI203,0)</f>
        <v>0</v>
      </c>
      <c r="AD203" s="31">
        <f>IF(AQ203="7",BH203,0)</f>
        <v>0</v>
      </c>
      <c r="AE203" s="31">
        <f>IF(AQ203="7",BI203,0)</f>
        <v>0</v>
      </c>
      <c r="AF203" s="31">
        <f>IF(AQ203="2",BH203,0)</f>
        <v>0</v>
      </c>
      <c r="AG203" s="31">
        <f>IF(AQ203="2",BI203,0)</f>
        <v>0</v>
      </c>
      <c r="AH203" s="31">
        <f>IF(AQ203="0",BJ203,0)</f>
        <v>0</v>
      </c>
      <c r="AI203" s="42" t="s">
        <v>85</v>
      </c>
      <c r="AJ203" s="31">
        <f>IF(AN203=0,I203,0)</f>
        <v>0</v>
      </c>
      <c r="AK203" s="31">
        <f>IF(AN203=12,I203,0)</f>
        <v>0</v>
      </c>
      <c r="AL203" s="31">
        <f>IF(AN203=21,I203,0)</f>
        <v>0</v>
      </c>
      <c r="AN203" s="31">
        <v>21</v>
      </c>
      <c r="AO203" s="31">
        <f>H203*0.659495575791789</f>
        <v>0</v>
      </c>
      <c r="AP203" s="31">
        <f>H203*(1-0.659495575791789)</f>
        <v>0</v>
      </c>
      <c r="AQ203" s="32" t="s">
        <v>154</v>
      </c>
      <c r="AV203" s="31">
        <f>AW203+AX203</f>
        <v>0</v>
      </c>
      <c r="AW203" s="31">
        <f>G203*AO203</f>
        <v>0</v>
      </c>
      <c r="AX203" s="31">
        <f>G203*AP203</f>
        <v>0</v>
      </c>
      <c r="AY203" s="32" t="s">
        <v>430</v>
      </c>
      <c r="AZ203" s="32" t="s">
        <v>211</v>
      </c>
      <c r="BA203" s="42" t="s">
        <v>128</v>
      </c>
      <c r="BC203" s="31">
        <f>AW203+AX203</f>
        <v>0</v>
      </c>
      <c r="BD203" s="31">
        <f>H203/(100-BE203)*100</f>
        <v>0</v>
      </c>
      <c r="BE203" s="31">
        <v>0</v>
      </c>
      <c r="BF203" s="31">
        <f>K203</f>
        <v>1.3209</v>
      </c>
      <c r="BH203" s="31">
        <f>G203*AO203</f>
        <v>0</v>
      </c>
      <c r="BI203" s="31">
        <f>G203*AP203</f>
        <v>0</v>
      </c>
      <c r="BJ203" s="31">
        <f>G203*H203</f>
        <v>0</v>
      </c>
      <c r="BK203" s="31"/>
      <c r="BL203" s="31">
        <v>765</v>
      </c>
      <c r="BW203" s="31">
        <v>21</v>
      </c>
    </row>
    <row r="204" spans="1:12" ht="15" customHeight="1">
      <c r="A204" s="60"/>
      <c r="D204" s="61" t="s">
        <v>457</v>
      </c>
      <c r="E204" s="62"/>
      <c r="G204" s="63">
        <v>92.50000000000001</v>
      </c>
      <c r="L204" s="64"/>
    </row>
    <row r="205" spans="1:75" ht="13.5" customHeight="1">
      <c r="A205" s="30" t="s">
        <v>458</v>
      </c>
      <c r="B205" s="3" t="s">
        <v>85</v>
      </c>
      <c r="C205" s="3" t="s">
        <v>459</v>
      </c>
      <c r="D205" s="78" t="s">
        <v>460</v>
      </c>
      <c r="E205" s="78"/>
      <c r="F205" s="3" t="s">
        <v>209</v>
      </c>
      <c r="G205" s="31">
        <f>'Stavební rozpočet'!G191</f>
        <v>21.2</v>
      </c>
      <c r="H205" s="170">
        <v>0</v>
      </c>
      <c r="I205" s="31">
        <f>G205*H205</f>
        <v>0</v>
      </c>
      <c r="J205" s="31">
        <f>'Stavební rozpočet'!J191</f>
        <v>0.01427</v>
      </c>
      <c r="K205" s="31">
        <f>G205*J205</f>
        <v>0.30252399999999996</v>
      </c>
      <c r="L205" s="59" t="s">
        <v>125</v>
      </c>
      <c r="Z205" s="31">
        <f>IF(AQ205="5",BJ205,0)</f>
        <v>0</v>
      </c>
      <c r="AB205" s="31">
        <f>IF(AQ205="1",BH205,0)</f>
        <v>0</v>
      </c>
      <c r="AC205" s="31">
        <f>IF(AQ205="1",BI205,0)</f>
        <v>0</v>
      </c>
      <c r="AD205" s="31">
        <f>IF(AQ205="7",BH205,0)</f>
        <v>0</v>
      </c>
      <c r="AE205" s="31">
        <f>IF(AQ205="7",BI205,0)</f>
        <v>0</v>
      </c>
      <c r="AF205" s="31">
        <f>IF(AQ205="2",BH205,0)</f>
        <v>0</v>
      </c>
      <c r="AG205" s="31">
        <f>IF(AQ205="2",BI205,0)</f>
        <v>0</v>
      </c>
      <c r="AH205" s="31">
        <f>IF(AQ205="0",BJ205,0)</f>
        <v>0</v>
      </c>
      <c r="AI205" s="42" t="s">
        <v>85</v>
      </c>
      <c r="AJ205" s="31">
        <f>IF(AN205=0,I205,0)</f>
        <v>0</v>
      </c>
      <c r="AK205" s="31">
        <f>IF(AN205=12,I205,0)</f>
        <v>0</v>
      </c>
      <c r="AL205" s="31">
        <f>IF(AN205=21,I205,0)</f>
        <v>0</v>
      </c>
      <c r="AN205" s="31">
        <v>21</v>
      </c>
      <c r="AO205" s="31">
        <f>H205*0.769889549702634</f>
        <v>0</v>
      </c>
      <c r="AP205" s="31">
        <f>H205*(1-0.769889549702634)</f>
        <v>0</v>
      </c>
      <c r="AQ205" s="32" t="s">
        <v>154</v>
      </c>
      <c r="AV205" s="31">
        <f>AW205+AX205</f>
        <v>0</v>
      </c>
      <c r="AW205" s="31">
        <f>G205*AO205</f>
        <v>0</v>
      </c>
      <c r="AX205" s="31">
        <f>G205*AP205</f>
        <v>0</v>
      </c>
      <c r="AY205" s="32" t="s">
        <v>430</v>
      </c>
      <c r="AZ205" s="32" t="s">
        <v>211</v>
      </c>
      <c r="BA205" s="42" t="s">
        <v>128</v>
      </c>
      <c r="BC205" s="31">
        <f>AW205+AX205</f>
        <v>0</v>
      </c>
      <c r="BD205" s="31">
        <f>H205/(100-BE205)*100</f>
        <v>0</v>
      </c>
      <c r="BE205" s="31">
        <v>0</v>
      </c>
      <c r="BF205" s="31">
        <f>K205</f>
        <v>0.30252399999999996</v>
      </c>
      <c r="BH205" s="31">
        <f>G205*AO205</f>
        <v>0</v>
      </c>
      <c r="BI205" s="31">
        <f>G205*AP205</f>
        <v>0</v>
      </c>
      <c r="BJ205" s="31">
        <f>G205*H205</f>
        <v>0</v>
      </c>
      <c r="BK205" s="31"/>
      <c r="BL205" s="31">
        <v>765</v>
      </c>
      <c r="BW205" s="31">
        <v>21</v>
      </c>
    </row>
    <row r="206" spans="1:12" ht="15" customHeight="1">
      <c r="A206" s="60"/>
      <c r="D206" s="61" t="s">
        <v>461</v>
      </c>
      <c r="E206" s="62"/>
      <c r="G206" s="63">
        <v>21.200000000000003</v>
      </c>
      <c r="L206" s="64"/>
    </row>
    <row r="207" spans="1:75" ht="13.5" customHeight="1">
      <c r="A207" s="30" t="s">
        <v>462</v>
      </c>
      <c r="B207" s="3" t="s">
        <v>85</v>
      </c>
      <c r="C207" s="3" t="s">
        <v>463</v>
      </c>
      <c r="D207" s="78" t="s">
        <v>464</v>
      </c>
      <c r="E207" s="78"/>
      <c r="F207" s="3" t="s">
        <v>124</v>
      </c>
      <c r="G207" s="31">
        <f>'Stavební rozpočet'!G193</f>
        <v>542.9934</v>
      </c>
      <c r="H207" s="170">
        <v>0</v>
      </c>
      <c r="I207" s="31">
        <f>G207*H207</f>
        <v>0</v>
      </c>
      <c r="J207" s="31">
        <f>'Stavební rozpočet'!J193</f>
        <v>0.07229</v>
      </c>
      <c r="K207" s="31">
        <f>G207*J207</f>
        <v>39.252992885999994</v>
      </c>
      <c r="L207" s="59" t="s">
        <v>125</v>
      </c>
      <c r="Z207" s="31">
        <f>IF(AQ207="5",BJ207,0)</f>
        <v>0</v>
      </c>
      <c r="AB207" s="31">
        <f>IF(AQ207="1",BH207,0)</f>
        <v>0</v>
      </c>
      <c r="AC207" s="31">
        <f>IF(AQ207="1",BI207,0)</f>
        <v>0</v>
      </c>
      <c r="AD207" s="31">
        <f>IF(AQ207="7",BH207,0)</f>
        <v>0</v>
      </c>
      <c r="AE207" s="31">
        <f>IF(AQ207="7",BI207,0)</f>
        <v>0</v>
      </c>
      <c r="AF207" s="31">
        <f>IF(AQ207="2",BH207,0)</f>
        <v>0</v>
      </c>
      <c r="AG207" s="31">
        <f>IF(AQ207="2",BI207,0)</f>
        <v>0</v>
      </c>
      <c r="AH207" s="31">
        <f>IF(AQ207="0",BJ207,0)</f>
        <v>0</v>
      </c>
      <c r="AI207" s="42" t="s">
        <v>85</v>
      </c>
      <c r="AJ207" s="31">
        <f>IF(AN207=0,I207,0)</f>
        <v>0</v>
      </c>
      <c r="AK207" s="31">
        <f>IF(AN207=12,I207,0)</f>
        <v>0</v>
      </c>
      <c r="AL207" s="31">
        <f>IF(AN207=21,I207,0)</f>
        <v>0</v>
      </c>
      <c r="AN207" s="31">
        <v>21</v>
      </c>
      <c r="AO207" s="31">
        <f>H207*0.745086432850535</f>
        <v>0</v>
      </c>
      <c r="AP207" s="31">
        <f>H207*(1-0.745086432850535)</f>
        <v>0</v>
      </c>
      <c r="AQ207" s="32" t="s">
        <v>154</v>
      </c>
      <c r="AV207" s="31">
        <f>AW207+AX207</f>
        <v>0</v>
      </c>
      <c r="AW207" s="31">
        <f>G207*AO207</f>
        <v>0</v>
      </c>
      <c r="AX207" s="31">
        <f>G207*AP207</f>
        <v>0</v>
      </c>
      <c r="AY207" s="32" t="s">
        <v>430</v>
      </c>
      <c r="AZ207" s="32" t="s">
        <v>211</v>
      </c>
      <c r="BA207" s="42" t="s">
        <v>128</v>
      </c>
      <c r="BC207" s="31">
        <f>AW207+AX207</f>
        <v>0</v>
      </c>
      <c r="BD207" s="31">
        <f>H207/(100-BE207)*100</f>
        <v>0</v>
      </c>
      <c r="BE207" s="31">
        <v>0</v>
      </c>
      <c r="BF207" s="31">
        <f>K207</f>
        <v>39.252992885999994</v>
      </c>
      <c r="BH207" s="31">
        <f>G207*AO207</f>
        <v>0</v>
      </c>
      <c r="BI207" s="31">
        <f>G207*AP207</f>
        <v>0</v>
      </c>
      <c r="BJ207" s="31">
        <f>G207*H207</f>
        <v>0</v>
      </c>
      <c r="BK207" s="31"/>
      <c r="BL207" s="31">
        <v>765</v>
      </c>
      <c r="BW207" s="31">
        <v>21</v>
      </c>
    </row>
    <row r="208" spans="1:12" ht="27" customHeight="1">
      <c r="A208" s="60"/>
      <c r="D208" s="123" t="s">
        <v>465</v>
      </c>
      <c r="E208" s="123"/>
      <c r="F208" s="123"/>
      <c r="G208" s="123"/>
      <c r="H208" s="123"/>
      <c r="I208" s="123"/>
      <c r="J208" s="123"/>
      <c r="K208" s="123"/>
      <c r="L208" s="123"/>
    </row>
    <row r="209" spans="1:12" ht="15" customHeight="1">
      <c r="A209" s="60"/>
      <c r="D209" s="61" t="s">
        <v>432</v>
      </c>
      <c r="E209" s="62"/>
      <c r="G209" s="63">
        <v>219.36165000000003</v>
      </c>
      <c r="L209" s="64"/>
    </row>
    <row r="210" spans="1:12" ht="15" customHeight="1">
      <c r="A210" s="60"/>
      <c r="D210" s="61" t="s">
        <v>433</v>
      </c>
      <c r="E210" s="62"/>
      <c r="G210" s="63">
        <v>59.85956</v>
      </c>
      <c r="L210" s="64"/>
    </row>
    <row r="211" spans="1:12" ht="15" customHeight="1">
      <c r="A211" s="60"/>
      <c r="D211" s="61" t="s">
        <v>434</v>
      </c>
      <c r="E211" s="62"/>
      <c r="G211" s="63">
        <v>100.93993</v>
      </c>
      <c r="L211" s="64"/>
    </row>
    <row r="212" spans="1:12" ht="15" customHeight="1">
      <c r="A212" s="60"/>
      <c r="D212" s="61" t="s">
        <v>435</v>
      </c>
      <c r="E212" s="62"/>
      <c r="G212" s="63">
        <v>45.327000000000005</v>
      </c>
      <c r="L212" s="64"/>
    </row>
    <row r="213" spans="1:12" ht="15" customHeight="1">
      <c r="A213" s="60"/>
      <c r="D213" s="61" t="s">
        <v>436</v>
      </c>
      <c r="E213" s="62"/>
      <c r="G213" s="63">
        <v>33.81535</v>
      </c>
      <c r="L213" s="64"/>
    </row>
    <row r="214" spans="1:12" ht="15" customHeight="1">
      <c r="A214" s="60"/>
      <c r="D214" s="61" t="s">
        <v>437</v>
      </c>
      <c r="E214" s="62"/>
      <c r="G214" s="63">
        <v>40.969910000000006</v>
      </c>
      <c r="L214" s="64"/>
    </row>
    <row r="215" spans="1:12" ht="15" customHeight="1">
      <c r="A215" s="60"/>
      <c r="D215" s="61" t="s">
        <v>438</v>
      </c>
      <c r="E215" s="62"/>
      <c r="G215" s="63">
        <v>42.720000000000006</v>
      </c>
      <c r="L215" s="64"/>
    </row>
    <row r="216" spans="1:75" ht="13.5" customHeight="1">
      <c r="A216" s="30" t="s">
        <v>466</v>
      </c>
      <c r="B216" s="3" t="s">
        <v>85</v>
      </c>
      <c r="C216" s="3" t="s">
        <v>467</v>
      </c>
      <c r="D216" s="78" t="s">
        <v>468</v>
      </c>
      <c r="E216" s="78"/>
      <c r="F216" s="3" t="s">
        <v>349</v>
      </c>
      <c r="G216" s="31">
        <f>'Stavební rozpočet'!G201</f>
        <v>13</v>
      </c>
      <c r="H216" s="170">
        <v>0</v>
      </c>
      <c r="I216" s="31">
        <f>G216*H216</f>
        <v>0</v>
      </c>
      <c r="J216" s="31">
        <f>'Stavební rozpočet'!J201</f>
        <v>0.0037</v>
      </c>
      <c r="K216" s="31">
        <f>G216*J216</f>
        <v>0.048100000000000004</v>
      </c>
      <c r="L216" s="59" t="s">
        <v>125</v>
      </c>
      <c r="Z216" s="31">
        <f>IF(AQ216="5",BJ216,0)</f>
        <v>0</v>
      </c>
      <c r="AB216" s="31">
        <f>IF(AQ216="1",BH216,0)</f>
        <v>0</v>
      </c>
      <c r="AC216" s="31">
        <f>IF(AQ216="1",BI216,0)</f>
        <v>0</v>
      </c>
      <c r="AD216" s="31">
        <f>IF(AQ216="7",BH216,0)</f>
        <v>0</v>
      </c>
      <c r="AE216" s="31">
        <f>IF(AQ216="7",BI216,0)</f>
        <v>0</v>
      </c>
      <c r="AF216" s="31">
        <f>IF(AQ216="2",BH216,0)</f>
        <v>0</v>
      </c>
      <c r="AG216" s="31">
        <f>IF(AQ216="2",BI216,0)</f>
        <v>0</v>
      </c>
      <c r="AH216" s="31">
        <f>IF(AQ216="0",BJ216,0)</f>
        <v>0</v>
      </c>
      <c r="AI216" s="42" t="s">
        <v>85</v>
      </c>
      <c r="AJ216" s="31">
        <f>IF(AN216=0,I216,0)</f>
        <v>0</v>
      </c>
      <c r="AK216" s="31">
        <f>IF(AN216=12,I216,0)</f>
        <v>0</v>
      </c>
      <c r="AL216" s="31">
        <f>IF(AN216=21,I216,0)</f>
        <v>0</v>
      </c>
      <c r="AN216" s="31">
        <v>21</v>
      </c>
      <c r="AO216" s="31">
        <f>H216*0.982339588918677</f>
        <v>0</v>
      </c>
      <c r="AP216" s="31">
        <f>H216*(1-0.982339588918677)</f>
        <v>0</v>
      </c>
      <c r="AQ216" s="32" t="s">
        <v>154</v>
      </c>
      <c r="AV216" s="31">
        <f>AW216+AX216</f>
        <v>0</v>
      </c>
      <c r="AW216" s="31">
        <f>G216*AO216</f>
        <v>0</v>
      </c>
      <c r="AX216" s="31">
        <f>G216*AP216</f>
        <v>0</v>
      </c>
      <c r="AY216" s="32" t="s">
        <v>430</v>
      </c>
      <c r="AZ216" s="32" t="s">
        <v>211</v>
      </c>
      <c r="BA216" s="42" t="s">
        <v>128</v>
      </c>
      <c r="BC216" s="31">
        <f>AW216+AX216</f>
        <v>0</v>
      </c>
      <c r="BD216" s="31">
        <f>H216/(100-BE216)*100</f>
        <v>0</v>
      </c>
      <c r="BE216" s="31">
        <v>0</v>
      </c>
      <c r="BF216" s="31">
        <f>K216</f>
        <v>0.048100000000000004</v>
      </c>
      <c r="BH216" s="31">
        <f>G216*AO216</f>
        <v>0</v>
      </c>
      <c r="BI216" s="31">
        <f>G216*AP216</f>
        <v>0</v>
      </c>
      <c r="BJ216" s="31">
        <f>G216*H216</f>
        <v>0</v>
      </c>
      <c r="BK216" s="31"/>
      <c r="BL216" s="31">
        <v>765</v>
      </c>
      <c r="BW216" s="31">
        <v>21</v>
      </c>
    </row>
    <row r="217" spans="1:12" ht="15" customHeight="1">
      <c r="A217" s="60"/>
      <c r="D217" s="61" t="s">
        <v>190</v>
      </c>
      <c r="E217" s="62"/>
      <c r="G217" s="63">
        <v>13.000000000000002</v>
      </c>
      <c r="L217" s="64"/>
    </row>
    <row r="218" spans="1:75" ht="13.5" customHeight="1">
      <c r="A218" s="30" t="s">
        <v>469</v>
      </c>
      <c r="B218" s="3" t="s">
        <v>85</v>
      </c>
      <c r="C218" s="3" t="s">
        <v>470</v>
      </c>
      <c r="D218" s="78" t="s">
        <v>471</v>
      </c>
      <c r="E218" s="78"/>
      <c r="F218" s="3" t="s">
        <v>349</v>
      </c>
      <c r="G218" s="31">
        <f>'Stavební rozpočet'!G203</f>
        <v>21</v>
      </c>
      <c r="H218" s="170">
        <v>0</v>
      </c>
      <c r="I218" s="31">
        <f>G218*H218</f>
        <v>0</v>
      </c>
      <c r="J218" s="31">
        <f>'Stavební rozpočet'!J203</f>
        <v>0.00381</v>
      </c>
      <c r="K218" s="31">
        <f>G218*J218</f>
        <v>0.08001</v>
      </c>
      <c r="L218" s="59" t="s">
        <v>125</v>
      </c>
      <c r="Z218" s="31">
        <f>IF(AQ218="5",BJ218,0)</f>
        <v>0</v>
      </c>
      <c r="AB218" s="31">
        <f>IF(AQ218="1",BH218,0)</f>
        <v>0</v>
      </c>
      <c r="AC218" s="31">
        <f>IF(AQ218="1",BI218,0)</f>
        <v>0</v>
      </c>
      <c r="AD218" s="31">
        <f>IF(AQ218="7",BH218,0)</f>
        <v>0</v>
      </c>
      <c r="AE218" s="31">
        <f>IF(AQ218="7",BI218,0)</f>
        <v>0</v>
      </c>
      <c r="AF218" s="31">
        <f>IF(AQ218="2",BH218,0)</f>
        <v>0</v>
      </c>
      <c r="AG218" s="31">
        <f>IF(AQ218="2",BI218,0)</f>
        <v>0</v>
      </c>
      <c r="AH218" s="31">
        <f>IF(AQ218="0",BJ218,0)</f>
        <v>0</v>
      </c>
      <c r="AI218" s="42" t="s">
        <v>85</v>
      </c>
      <c r="AJ218" s="31">
        <f>IF(AN218=0,I218,0)</f>
        <v>0</v>
      </c>
      <c r="AK218" s="31">
        <f>IF(AN218=12,I218,0)</f>
        <v>0</v>
      </c>
      <c r="AL218" s="31">
        <f>IF(AN218=21,I218,0)</f>
        <v>0</v>
      </c>
      <c r="AN218" s="31">
        <v>21</v>
      </c>
      <c r="AO218" s="31">
        <f>H218*0.989405951090798</f>
        <v>0</v>
      </c>
      <c r="AP218" s="31">
        <f>H218*(1-0.989405951090798)</f>
        <v>0</v>
      </c>
      <c r="AQ218" s="32" t="s">
        <v>154</v>
      </c>
      <c r="AV218" s="31">
        <f>AW218+AX218</f>
        <v>0</v>
      </c>
      <c r="AW218" s="31">
        <f>G218*AO218</f>
        <v>0</v>
      </c>
      <c r="AX218" s="31">
        <f>G218*AP218</f>
        <v>0</v>
      </c>
      <c r="AY218" s="32" t="s">
        <v>430</v>
      </c>
      <c r="AZ218" s="32" t="s">
        <v>211</v>
      </c>
      <c r="BA218" s="42" t="s">
        <v>128</v>
      </c>
      <c r="BC218" s="31">
        <f>AW218+AX218</f>
        <v>0</v>
      </c>
      <c r="BD218" s="31">
        <f>H218/(100-BE218)*100</f>
        <v>0</v>
      </c>
      <c r="BE218" s="31">
        <v>0</v>
      </c>
      <c r="BF218" s="31">
        <f>K218</f>
        <v>0.08001</v>
      </c>
      <c r="BH218" s="31">
        <f>G218*AO218</f>
        <v>0</v>
      </c>
      <c r="BI218" s="31">
        <f>G218*AP218</f>
        <v>0</v>
      </c>
      <c r="BJ218" s="31">
        <f>G218*H218</f>
        <v>0</v>
      </c>
      <c r="BK218" s="31"/>
      <c r="BL218" s="31">
        <v>765</v>
      </c>
      <c r="BW218" s="31">
        <v>21</v>
      </c>
    </row>
    <row r="219" spans="1:12" ht="15" customHeight="1">
      <c r="A219" s="60"/>
      <c r="D219" s="61" t="s">
        <v>154</v>
      </c>
      <c r="E219" s="62"/>
      <c r="G219" s="63">
        <v>7.000000000000001</v>
      </c>
      <c r="L219" s="64"/>
    </row>
    <row r="220" spans="1:12" ht="15" customHeight="1">
      <c r="A220" s="60"/>
      <c r="D220" s="61" t="s">
        <v>472</v>
      </c>
      <c r="E220" s="62"/>
      <c r="G220" s="63">
        <v>14.000000000000002</v>
      </c>
      <c r="L220" s="64"/>
    </row>
    <row r="221" spans="1:75" ht="13.5" customHeight="1">
      <c r="A221" s="30" t="s">
        <v>473</v>
      </c>
      <c r="B221" s="3" t="s">
        <v>85</v>
      </c>
      <c r="C221" s="3" t="s">
        <v>474</v>
      </c>
      <c r="D221" s="78" t="s">
        <v>475</v>
      </c>
      <c r="E221" s="78"/>
      <c r="F221" s="3" t="s">
        <v>124</v>
      </c>
      <c r="G221" s="31">
        <f>'Stavební rozpočet'!G206</f>
        <v>23.8</v>
      </c>
      <c r="H221" s="170">
        <v>0</v>
      </c>
      <c r="I221" s="31">
        <f>G221*H221</f>
        <v>0</v>
      </c>
      <c r="J221" s="31">
        <f>'Stavební rozpočet'!J206</f>
        <v>0.1</v>
      </c>
      <c r="K221" s="31">
        <f>G221*J221</f>
        <v>2.3800000000000003</v>
      </c>
      <c r="L221" s="59"/>
      <c r="Z221" s="31">
        <f>IF(AQ221="5",BJ221,0)</f>
        <v>0</v>
      </c>
      <c r="AB221" s="31">
        <f>IF(AQ221="1",BH221,0)</f>
        <v>0</v>
      </c>
      <c r="AC221" s="31">
        <f>IF(AQ221="1",BI221,0)</f>
        <v>0</v>
      </c>
      <c r="AD221" s="31">
        <f>IF(AQ221="7",BH221,0)</f>
        <v>0</v>
      </c>
      <c r="AE221" s="31">
        <f>IF(AQ221="7",BI221,0)</f>
        <v>0</v>
      </c>
      <c r="AF221" s="31">
        <f>IF(AQ221="2",BH221,0)</f>
        <v>0</v>
      </c>
      <c r="AG221" s="31">
        <f>IF(AQ221="2",BI221,0)</f>
        <v>0</v>
      </c>
      <c r="AH221" s="31">
        <f>IF(AQ221="0",BJ221,0)</f>
        <v>0</v>
      </c>
      <c r="AI221" s="42" t="s">
        <v>85</v>
      </c>
      <c r="AJ221" s="31">
        <f>IF(AN221=0,I221,0)</f>
        <v>0</v>
      </c>
      <c r="AK221" s="31">
        <f>IF(AN221=12,I221,0)</f>
        <v>0</v>
      </c>
      <c r="AL221" s="31">
        <f>IF(AN221=21,I221,0)</f>
        <v>0</v>
      </c>
      <c r="AN221" s="31">
        <v>21</v>
      </c>
      <c r="AO221" s="31">
        <f>H221*0</f>
        <v>0</v>
      </c>
      <c r="AP221" s="31">
        <f>H221*(1-0)</f>
        <v>0</v>
      </c>
      <c r="AQ221" s="32" t="s">
        <v>154</v>
      </c>
      <c r="AV221" s="31">
        <f>AW221+AX221</f>
        <v>0</v>
      </c>
      <c r="AW221" s="31">
        <f>G221*AO221</f>
        <v>0</v>
      </c>
      <c r="AX221" s="31">
        <f>G221*AP221</f>
        <v>0</v>
      </c>
      <c r="AY221" s="32" t="s">
        <v>430</v>
      </c>
      <c r="AZ221" s="32" t="s">
        <v>211</v>
      </c>
      <c r="BA221" s="42" t="s">
        <v>128</v>
      </c>
      <c r="BC221" s="31">
        <f>AW221+AX221</f>
        <v>0</v>
      </c>
      <c r="BD221" s="31">
        <f>H221/(100-BE221)*100</f>
        <v>0</v>
      </c>
      <c r="BE221" s="31">
        <v>0</v>
      </c>
      <c r="BF221" s="31">
        <f>K221</f>
        <v>2.3800000000000003</v>
      </c>
      <c r="BH221" s="31">
        <f>G221*AO221</f>
        <v>0</v>
      </c>
      <c r="BI221" s="31">
        <f>G221*AP221</f>
        <v>0</v>
      </c>
      <c r="BJ221" s="31">
        <f>G221*H221</f>
        <v>0</v>
      </c>
      <c r="BK221" s="31"/>
      <c r="BL221" s="31">
        <v>765</v>
      </c>
      <c r="BW221" s="31">
        <v>21</v>
      </c>
    </row>
    <row r="222" spans="1:12" ht="15" customHeight="1">
      <c r="A222" s="60"/>
      <c r="D222" s="61" t="s">
        <v>476</v>
      </c>
      <c r="E222" s="62"/>
      <c r="G222" s="63">
        <v>13.600000000000001</v>
      </c>
      <c r="L222" s="64"/>
    </row>
    <row r="223" spans="1:12" ht="15" customHeight="1">
      <c r="A223" s="60"/>
      <c r="D223" s="61" t="s">
        <v>477</v>
      </c>
      <c r="E223" s="62"/>
      <c r="G223" s="63">
        <v>10.200000000000001</v>
      </c>
      <c r="L223" s="64"/>
    </row>
    <row r="224" spans="1:75" ht="13.5" customHeight="1">
      <c r="A224" s="30" t="s">
        <v>478</v>
      </c>
      <c r="B224" s="3" t="s">
        <v>85</v>
      </c>
      <c r="C224" s="3" t="s">
        <v>479</v>
      </c>
      <c r="D224" s="78" t="s">
        <v>480</v>
      </c>
      <c r="E224" s="78"/>
      <c r="F224" s="3" t="s">
        <v>349</v>
      </c>
      <c r="G224" s="31">
        <f>'Stavební rozpočet'!G209</f>
        <v>3</v>
      </c>
      <c r="H224" s="170">
        <v>0</v>
      </c>
      <c r="I224" s="31">
        <f>G224*H224</f>
        <v>0</v>
      </c>
      <c r="J224" s="31">
        <f>'Stavební rozpočet'!J209</f>
        <v>0.02009</v>
      </c>
      <c r="K224" s="31">
        <f>G224*J224</f>
        <v>0.060270000000000004</v>
      </c>
      <c r="L224" s="59" t="s">
        <v>125</v>
      </c>
      <c r="Z224" s="31">
        <f>IF(AQ224="5",BJ224,0)</f>
        <v>0</v>
      </c>
      <c r="AB224" s="31">
        <f>IF(AQ224="1",BH224,0)</f>
        <v>0</v>
      </c>
      <c r="AC224" s="31">
        <f>IF(AQ224="1",BI224,0)</f>
        <v>0</v>
      </c>
      <c r="AD224" s="31">
        <f>IF(AQ224="7",BH224,0)</f>
        <v>0</v>
      </c>
      <c r="AE224" s="31">
        <f>IF(AQ224="7",BI224,0)</f>
        <v>0</v>
      </c>
      <c r="AF224" s="31">
        <f>IF(AQ224="2",BH224,0)</f>
        <v>0</v>
      </c>
      <c r="AG224" s="31">
        <f>IF(AQ224="2",BI224,0)</f>
        <v>0</v>
      </c>
      <c r="AH224" s="31">
        <f>IF(AQ224="0",BJ224,0)</f>
        <v>0</v>
      </c>
      <c r="AI224" s="42" t="s">
        <v>85</v>
      </c>
      <c r="AJ224" s="31">
        <f>IF(AN224=0,I224,0)</f>
        <v>0</v>
      </c>
      <c r="AK224" s="31">
        <f>IF(AN224=12,I224,0)</f>
        <v>0</v>
      </c>
      <c r="AL224" s="31">
        <f>IF(AN224=21,I224,0)</f>
        <v>0</v>
      </c>
      <c r="AN224" s="31">
        <v>21</v>
      </c>
      <c r="AO224" s="31">
        <f>H224*0.741875409836066</f>
        <v>0</v>
      </c>
      <c r="AP224" s="31">
        <f>H224*(1-0.741875409836066)</f>
        <v>0</v>
      </c>
      <c r="AQ224" s="32" t="s">
        <v>154</v>
      </c>
      <c r="AV224" s="31">
        <f>AW224+AX224</f>
        <v>0</v>
      </c>
      <c r="AW224" s="31">
        <f>G224*AO224</f>
        <v>0</v>
      </c>
      <c r="AX224" s="31">
        <f>G224*AP224</f>
        <v>0</v>
      </c>
      <c r="AY224" s="32" t="s">
        <v>430</v>
      </c>
      <c r="AZ224" s="32" t="s">
        <v>211</v>
      </c>
      <c r="BA224" s="42" t="s">
        <v>128</v>
      </c>
      <c r="BC224" s="31">
        <f>AW224+AX224</f>
        <v>0</v>
      </c>
      <c r="BD224" s="31">
        <f>H224/(100-BE224)*100</f>
        <v>0</v>
      </c>
      <c r="BE224" s="31">
        <v>0</v>
      </c>
      <c r="BF224" s="31">
        <f>K224</f>
        <v>0.060270000000000004</v>
      </c>
      <c r="BH224" s="31">
        <f>G224*AO224</f>
        <v>0</v>
      </c>
      <c r="BI224" s="31">
        <f>G224*AP224</f>
        <v>0</v>
      </c>
      <c r="BJ224" s="31">
        <f>G224*H224</f>
        <v>0</v>
      </c>
      <c r="BK224" s="31"/>
      <c r="BL224" s="31">
        <v>765</v>
      </c>
      <c r="BW224" s="31">
        <v>21</v>
      </c>
    </row>
    <row r="225" spans="1:12" ht="13.5" customHeight="1">
      <c r="A225" s="60"/>
      <c r="D225" s="123" t="s">
        <v>481</v>
      </c>
      <c r="E225" s="123"/>
      <c r="F225" s="123"/>
      <c r="G225" s="123"/>
      <c r="H225" s="123"/>
      <c r="I225" s="123"/>
      <c r="J225" s="123"/>
      <c r="K225" s="123"/>
      <c r="L225" s="123"/>
    </row>
    <row r="226" spans="1:12" ht="15" customHeight="1">
      <c r="A226" s="60"/>
      <c r="D226" s="61" t="s">
        <v>134</v>
      </c>
      <c r="E226" s="62"/>
      <c r="G226" s="63">
        <v>3.0000000000000004</v>
      </c>
      <c r="L226" s="64"/>
    </row>
    <row r="227" spans="1:75" ht="13.5" customHeight="1">
      <c r="A227" s="30" t="s">
        <v>482</v>
      </c>
      <c r="B227" s="3" t="s">
        <v>85</v>
      </c>
      <c r="C227" s="3" t="s">
        <v>483</v>
      </c>
      <c r="D227" s="78" t="s">
        <v>484</v>
      </c>
      <c r="E227" s="78"/>
      <c r="F227" s="3" t="s">
        <v>349</v>
      </c>
      <c r="G227" s="31">
        <f>'Stavební rozpočet'!G211</f>
        <v>5</v>
      </c>
      <c r="H227" s="170">
        <v>0</v>
      </c>
      <c r="I227" s="31">
        <f>G227*H227</f>
        <v>0</v>
      </c>
      <c r="J227" s="31">
        <f>'Stavební rozpočet'!J211</f>
        <v>0.08471</v>
      </c>
      <c r="K227" s="31">
        <f>G227*J227</f>
        <v>0.42355</v>
      </c>
      <c r="L227" s="59" t="s">
        <v>125</v>
      </c>
      <c r="Z227" s="31">
        <f>IF(AQ227="5",BJ227,0)</f>
        <v>0</v>
      </c>
      <c r="AB227" s="31">
        <f>IF(AQ227="1",BH227,0)</f>
        <v>0</v>
      </c>
      <c r="AC227" s="31">
        <f>IF(AQ227="1",BI227,0)</f>
        <v>0</v>
      </c>
      <c r="AD227" s="31">
        <f>IF(AQ227="7",BH227,0)</f>
        <v>0</v>
      </c>
      <c r="AE227" s="31">
        <f>IF(AQ227="7",BI227,0)</f>
        <v>0</v>
      </c>
      <c r="AF227" s="31">
        <f>IF(AQ227="2",BH227,0)</f>
        <v>0</v>
      </c>
      <c r="AG227" s="31">
        <f>IF(AQ227="2",BI227,0)</f>
        <v>0</v>
      </c>
      <c r="AH227" s="31">
        <f>IF(AQ227="0",BJ227,0)</f>
        <v>0</v>
      </c>
      <c r="AI227" s="42" t="s">
        <v>85</v>
      </c>
      <c r="AJ227" s="31">
        <f>IF(AN227=0,I227,0)</f>
        <v>0</v>
      </c>
      <c r="AK227" s="31">
        <f>IF(AN227=12,I227,0)</f>
        <v>0</v>
      </c>
      <c r="AL227" s="31">
        <f>IF(AN227=21,I227,0)</f>
        <v>0</v>
      </c>
      <c r="AN227" s="31">
        <v>21</v>
      </c>
      <c r="AO227" s="31">
        <f>H227*0.0993929024081115</f>
        <v>0</v>
      </c>
      <c r="AP227" s="31">
        <f>H227*(1-0.0993929024081115)</f>
        <v>0</v>
      </c>
      <c r="AQ227" s="32" t="s">
        <v>154</v>
      </c>
      <c r="AV227" s="31">
        <f>AW227+AX227</f>
        <v>0</v>
      </c>
      <c r="AW227" s="31">
        <f>G227*AO227</f>
        <v>0</v>
      </c>
      <c r="AX227" s="31">
        <f>G227*AP227</f>
        <v>0</v>
      </c>
      <c r="AY227" s="32" t="s">
        <v>430</v>
      </c>
      <c r="AZ227" s="32" t="s">
        <v>211</v>
      </c>
      <c r="BA227" s="42" t="s">
        <v>128</v>
      </c>
      <c r="BC227" s="31">
        <f>AW227+AX227</f>
        <v>0</v>
      </c>
      <c r="BD227" s="31">
        <f>H227/(100-BE227)*100</f>
        <v>0</v>
      </c>
      <c r="BE227" s="31">
        <v>0</v>
      </c>
      <c r="BF227" s="31">
        <f>K227</f>
        <v>0.42355</v>
      </c>
      <c r="BH227" s="31">
        <f>G227*AO227</f>
        <v>0</v>
      </c>
      <c r="BI227" s="31">
        <f>G227*AP227</f>
        <v>0</v>
      </c>
      <c r="BJ227" s="31">
        <f>G227*H227</f>
        <v>0</v>
      </c>
      <c r="BK227" s="31"/>
      <c r="BL227" s="31">
        <v>765</v>
      </c>
      <c r="BW227" s="31">
        <v>21</v>
      </c>
    </row>
    <row r="228" spans="1:12" ht="27" customHeight="1">
      <c r="A228" s="60"/>
      <c r="D228" s="123" t="s">
        <v>485</v>
      </c>
      <c r="E228" s="123"/>
      <c r="F228" s="123"/>
      <c r="G228" s="123"/>
      <c r="H228" s="123"/>
      <c r="I228" s="123"/>
      <c r="J228" s="123"/>
      <c r="K228" s="123"/>
      <c r="L228" s="123"/>
    </row>
    <row r="229" spans="1:12" ht="15" customHeight="1">
      <c r="A229" s="60"/>
      <c r="D229" s="61" t="s">
        <v>146</v>
      </c>
      <c r="E229" s="62"/>
      <c r="G229" s="63">
        <v>5</v>
      </c>
      <c r="L229" s="64"/>
    </row>
    <row r="230" spans="1:75" ht="13.5" customHeight="1">
      <c r="A230" s="30" t="s">
        <v>486</v>
      </c>
      <c r="B230" s="3" t="s">
        <v>85</v>
      </c>
      <c r="C230" s="3" t="s">
        <v>487</v>
      </c>
      <c r="D230" s="78" t="s">
        <v>488</v>
      </c>
      <c r="E230" s="78"/>
      <c r="F230" s="3" t="s">
        <v>209</v>
      </c>
      <c r="G230" s="31">
        <f>'Stavební rozpočet'!G213</f>
        <v>102.7</v>
      </c>
      <c r="H230" s="170">
        <v>0</v>
      </c>
      <c r="I230" s="31">
        <f>G230*H230</f>
        <v>0</v>
      </c>
      <c r="J230" s="31">
        <f>'Stavební rozpočet'!J213</f>
        <v>0.00288</v>
      </c>
      <c r="K230" s="31">
        <f>G230*J230</f>
        <v>0.29577600000000004</v>
      </c>
      <c r="L230" s="59" t="s">
        <v>125</v>
      </c>
      <c r="Z230" s="31">
        <f>IF(AQ230="5",BJ230,0)</f>
        <v>0</v>
      </c>
      <c r="AB230" s="31">
        <f>IF(AQ230="1",BH230,0)</f>
        <v>0</v>
      </c>
      <c r="AC230" s="31">
        <f>IF(AQ230="1",BI230,0)</f>
        <v>0</v>
      </c>
      <c r="AD230" s="31">
        <f>IF(AQ230="7",BH230,0)</f>
        <v>0</v>
      </c>
      <c r="AE230" s="31">
        <f>IF(AQ230="7",BI230,0)</f>
        <v>0</v>
      </c>
      <c r="AF230" s="31">
        <f>IF(AQ230="2",BH230,0)</f>
        <v>0</v>
      </c>
      <c r="AG230" s="31">
        <f>IF(AQ230="2",BI230,0)</f>
        <v>0</v>
      </c>
      <c r="AH230" s="31">
        <f>IF(AQ230="0",BJ230,0)</f>
        <v>0</v>
      </c>
      <c r="AI230" s="42" t="s">
        <v>85</v>
      </c>
      <c r="AJ230" s="31">
        <f>IF(AN230=0,I230,0)</f>
        <v>0</v>
      </c>
      <c r="AK230" s="31">
        <f>IF(AN230=12,I230,0)</f>
        <v>0</v>
      </c>
      <c r="AL230" s="31">
        <f>IF(AN230=21,I230,0)</f>
        <v>0</v>
      </c>
      <c r="AN230" s="31">
        <v>21</v>
      </c>
      <c r="AO230" s="31">
        <f>H230*0.85</f>
        <v>0</v>
      </c>
      <c r="AP230" s="31">
        <f>H230*(1-0.85)</f>
        <v>0</v>
      </c>
      <c r="AQ230" s="32" t="s">
        <v>154</v>
      </c>
      <c r="AV230" s="31">
        <f>AW230+AX230</f>
        <v>0</v>
      </c>
      <c r="AW230" s="31">
        <f>G230*AO230</f>
        <v>0</v>
      </c>
      <c r="AX230" s="31">
        <f>G230*AP230</f>
        <v>0</v>
      </c>
      <c r="AY230" s="32" t="s">
        <v>430</v>
      </c>
      <c r="AZ230" s="32" t="s">
        <v>211</v>
      </c>
      <c r="BA230" s="42" t="s">
        <v>128</v>
      </c>
      <c r="BC230" s="31">
        <f>AW230+AX230</f>
        <v>0</v>
      </c>
      <c r="BD230" s="31">
        <f>H230/(100-BE230)*100</f>
        <v>0</v>
      </c>
      <c r="BE230" s="31">
        <v>0</v>
      </c>
      <c r="BF230" s="31">
        <f>K230</f>
        <v>0.29577600000000004</v>
      </c>
      <c r="BH230" s="31">
        <f>G230*AO230</f>
        <v>0</v>
      </c>
      <c r="BI230" s="31">
        <f>G230*AP230</f>
        <v>0</v>
      </c>
      <c r="BJ230" s="31">
        <f>G230*H230</f>
        <v>0</v>
      </c>
      <c r="BK230" s="31"/>
      <c r="BL230" s="31">
        <v>765</v>
      </c>
      <c r="BW230" s="31">
        <v>21</v>
      </c>
    </row>
    <row r="231" spans="1:12" ht="13.5" customHeight="1">
      <c r="A231" s="60"/>
      <c r="D231" s="123" t="s">
        <v>489</v>
      </c>
      <c r="E231" s="123"/>
      <c r="F231" s="123"/>
      <c r="G231" s="123"/>
      <c r="H231" s="123"/>
      <c r="I231" s="123"/>
      <c r="J231" s="123"/>
      <c r="K231" s="123"/>
      <c r="L231" s="123"/>
    </row>
    <row r="232" spans="1:12" ht="15" customHeight="1">
      <c r="A232" s="60"/>
      <c r="D232" s="61" t="s">
        <v>490</v>
      </c>
      <c r="E232" s="62"/>
      <c r="G232" s="63">
        <v>102.7</v>
      </c>
      <c r="L232" s="64"/>
    </row>
    <row r="233" spans="1:75" ht="13.5" customHeight="1">
      <c r="A233" s="30" t="s">
        <v>491</v>
      </c>
      <c r="B233" s="3" t="s">
        <v>85</v>
      </c>
      <c r="C233" s="3" t="s">
        <v>492</v>
      </c>
      <c r="D233" s="78" t="s">
        <v>493</v>
      </c>
      <c r="E233" s="78"/>
      <c r="F233" s="3" t="s">
        <v>124</v>
      </c>
      <c r="G233" s="31">
        <f>'Stavební rozpočet'!G215</f>
        <v>560.795</v>
      </c>
      <c r="H233" s="170">
        <v>0</v>
      </c>
      <c r="I233" s="31">
        <f>G233*H233</f>
        <v>0</v>
      </c>
      <c r="J233" s="31">
        <f>'Stavební rozpočet'!J215</f>
        <v>0</v>
      </c>
      <c r="K233" s="31">
        <f>G233*J233</f>
        <v>0</v>
      </c>
      <c r="L233" s="59" t="s">
        <v>125</v>
      </c>
      <c r="Z233" s="31">
        <f>IF(AQ233="5",BJ233,0)</f>
        <v>0</v>
      </c>
      <c r="AB233" s="31">
        <f>IF(AQ233="1",BH233,0)</f>
        <v>0</v>
      </c>
      <c r="AC233" s="31">
        <f>IF(AQ233="1",BI233,0)</f>
        <v>0</v>
      </c>
      <c r="AD233" s="31">
        <f>IF(AQ233="7",BH233,0)</f>
        <v>0</v>
      </c>
      <c r="AE233" s="31">
        <f>IF(AQ233="7",BI233,0)</f>
        <v>0</v>
      </c>
      <c r="AF233" s="31">
        <f>IF(AQ233="2",BH233,0)</f>
        <v>0</v>
      </c>
      <c r="AG233" s="31">
        <f>IF(AQ233="2",BI233,0)</f>
        <v>0</v>
      </c>
      <c r="AH233" s="31">
        <f>IF(AQ233="0",BJ233,0)</f>
        <v>0</v>
      </c>
      <c r="AI233" s="42" t="s">
        <v>85</v>
      </c>
      <c r="AJ233" s="31">
        <f>IF(AN233=0,I233,0)</f>
        <v>0</v>
      </c>
      <c r="AK233" s="31">
        <f>IF(AN233=12,I233,0)</f>
        <v>0</v>
      </c>
      <c r="AL233" s="31">
        <f>IF(AN233=21,I233,0)</f>
        <v>0</v>
      </c>
      <c r="AN233" s="31">
        <v>21</v>
      </c>
      <c r="AO233" s="31">
        <f>H233*0</f>
        <v>0</v>
      </c>
      <c r="AP233" s="31">
        <f>H233*(1-0)</f>
        <v>0</v>
      </c>
      <c r="AQ233" s="32" t="s">
        <v>154</v>
      </c>
      <c r="AV233" s="31">
        <f>AW233+AX233</f>
        <v>0</v>
      </c>
      <c r="AW233" s="31">
        <f>G233*AO233</f>
        <v>0</v>
      </c>
      <c r="AX233" s="31">
        <f>G233*AP233</f>
        <v>0</v>
      </c>
      <c r="AY233" s="32" t="s">
        <v>430</v>
      </c>
      <c r="AZ233" s="32" t="s">
        <v>211</v>
      </c>
      <c r="BA233" s="42" t="s">
        <v>128</v>
      </c>
      <c r="BC233" s="31">
        <f>AW233+AX233</f>
        <v>0</v>
      </c>
      <c r="BD233" s="31">
        <f>H233/(100-BE233)*100</f>
        <v>0</v>
      </c>
      <c r="BE233" s="31">
        <v>0</v>
      </c>
      <c r="BF233" s="31">
        <f>K233</f>
        <v>0</v>
      </c>
      <c r="BH233" s="31">
        <f>G233*AO233</f>
        <v>0</v>
      </c>
      <c r="BI233" s="31">
        <f>G233*AP233</f>
        <v>0</v>
      </c>
      <c r="BJ233" s="31">
        <f>G233*H233</f>
        <v>0</v>
      </c>
      <c r="BK233" s="31"/>
      <c r="BL233" s="31">
        <v>765</v>
      </c>
      <c r="BW233" s="31">
        <v>21</v>
      </c>
    </row>
    <row r="234" spans="1:12" ht="15" customHeight="1">
      <c r="A234" s="60"/>
      <c r="D234" s="61" t="s">
        <v>494</v>
      </c>
      <c r="E234" s="62"/>
      <c r="G234" s="63">
        <v>543</v>
      </c>
      <c r="L234" s="64"/>
    </row>
    <row r="235" spans="1:12" ht="15" customHeight="1">
      <c r="A235" s="60"/>
      <c r="D235" s="61" t="s">
        <v>495</v>
      </c>
      <c r="E235" s="62"/>
      <c r="G235" s="63">
        <v>17.795</v>
      </c>
      <c r="L235" s="64"/>
    </row>
    <row r="236" spans="1:75" ht="27" customHeight="1">
      <c r="A236" s="30" t="s">
        <v>496</v>
      </c>
      <c r="B236" s="3" t="s">
        <v>85</v>
      </c>
      <c r="C236" s="3" t="s">
        <v>497</v>
      </c>
      <c r="D236" s="78" t="s">
        <v>498</v>
      </c>
      <c r="E236" s="78"/>
      <c r="F236" s="3" t="s">
        <v>124</v>
      </c>
      <c r="G236" s="31">
        <f>'Stavební rozpočet'!G218</f>
        <v>616.8745</v>
      </c>
      <c r="H236" s="170">
        <v>0</v>
      </c>
      <c r="I236" s="31">
        <f>G236*H236</f>
        <v>0</v>
      </c>
      <c r="J236" s="31">
        <f>'Stavební rozpočet'!J218</f>
        <v>0.00019</v>
      </c>
      <c r="K236" s="31">
        <f>G236*J236</f>
        <v>0.117206155</v>
      </c>
      <c r="L236" s="59" t="s">
        <v>125</v>
      </c>
      <c r="Z236" s="31">
        <f>IF(AQ236="5",BJ236,0)</f>
        <v>0</v>
      </c>
      <c r="AB236" s="31">
        <f>IF(AQ236="1",BH236,0)</f>
        <v>0</v>
      </c>
      <c r="AC236" s="31">
        <f>IF(AQ236="1",BI236,0)</f>
        <v>0</v>
      </c>
      <c r="AD236" s="31">
        <f>IF(AQ236="7",BH236,0)</f>
        <v>0</v>
      </c>
      <c r="AE236" s="31">
        <f>IF(AQ236="7",BI236,0)</f>
        <v>0</v>
      </c>
      <c r="AF236" s="31">
        <f>IF(AQ236="2",BH236,0)</f>
        <v>0</v>
      </c>
      <c r="AG236" s="31">
        <f>IF(AQ236="2",BI236,0)</f>
        <v>0</v>
      </c>
      <c r="AH236" s="31">
        <f>IF(AQ236="0",BJ236,0)</f>
        <v>0</v>
      </c>
      <c r="AI236" s="42" t="s">
        <v>85</v>
      </c>
      <c r="AJ236" s="31">
        <f>IF(AN236=0,I236,0)</f>
        <v>0</v>
      </c>
      <c r="AK236" s="31">
        <f>IF(AN236=12,I236,0)</f>
        <v>0</v>
      </c>
      <c r="AL236" s="31">
        <f>IF(AN236=21,I236,0)</f>
        <v>0</v>
      </c>
      <c r="AN236" s="31">
        <v>21</v>
      </c>
      <c r="AO236" s="31">
        <f>H236*1</f>
        <v>0</v>
      </c>
      <c r="AP236" s="31">
        <f>H236*(1-1)</f>
        <v>0</v>
      </c>
      <c r="AQ236" s="32" t="s">
        <v>154</v>
      </c>
      <c r="AV236" s="31">
        <f>AW236+AX236</f>
        <v>0</v>
      </c>
      <c r="AW236" s="31">
        <f>G236*AO236</f>
        <v>0</v>
      </c>
      <c r="AX236" s="31">
        <f>G236*AP236</f>
        <v>0</v>
      </c>
      <c r="AY236" s="32" t="s">
        <v>430</v>
      </c>
      <c r="AZ236" s="32" t="s">
        <v>211</v>
      </c>
      <c r="BA236" s="42" t="s">
        <v>128</v>
      </c>
      <c r="BC236" s="31">
        <f>AW236+AX236</f>
        <v>0</v>
      </c>
      <c r="BD236" s="31">
        <f>H236/(100-BE236)*100</f>
        <v>0</v>
      </c>
      <c r="BE236" s="31">
        <v>0</v>
      </c>
      <c r="BF236" s="31">
        <f>K236</f>
        <v>0.117206155</v>
      </c>
      <c r="BH236" s="31">
        <f>G236*AO236</f>
        <v>0</v>
      </c>
      <c r="BI236" s="31">
        <f>G236*AP236</f>
        <v>0</v>
      </c>
      <c r="BJ236" s="31">
        <f>G236*H236</f>
        <v>0</v>
      </c>
      <c r="BK236" s="31"/>
      <c r="BL236" s="31">
        <v>765</v>
      </c>
      <c r="BW236" s="31">
        <v>21</v>
      </c>
    </row>
    <row r="237" spans="1:12" ht="15" customHeight="1">
      <c r="A237" s="60"/>
      <c r="D237" s="61" t="s">
        <v>499</v>
      </c>
      <c r="E237" s="62"/>
      <c r="G237" s="63">
        <v>560.7950000000001</v>
      </c>
      <c r="L237" s="64"/>
    </row>
    <row r="238" spans="1:12" ht="15" customHeight="1">
      <c r="A238" s="60"/>
      <c r="D238" s="61" t="s">
        <v>500</v>
      </c>
      <c r="E238" s="62"/>
      <c r="G238" s="63">
        <v>56.0795</v>
      </c>
      <c r="L238" s="64"/>
    </row>
    <row r="239" spans="1:75" ht="13.5" customHeight="1">
      <c r="A239" s="30" t="s">
        <v>501</v>
      </c>
      <c r="B239" s="3" t="s">
        <v>85</v>
      </c>
      <c r="C239" s="3" t="s">
        <v>502</v>
      </c>
      <c r="D239" s="78" t="s">
        <v>503</v>
      </c>
      <c r="E239" s="78"/>
      <c r="F239" s="3" t="s">
        <v>209</v>
      </c>
      <c r="G239" s="31">
        <f>'Stavební rozpočet'!G221</f>
        <v>1080</v>
      </c>
      <c r="H239" s="170">
        <v>0</v>
      </c>
      <c r="I239" s="31">
        <f>G239*H239</f>
        <v>0</v>
      </c>
      <c r="J239" s="31">
        <f>'Stavební rozpočet'!J221</f>
        <v>0</v>
      </c>
      <c r="K239" s="31">
        <f>G239*J239</f>
        <v>0</v>
      </c>
      <c r="L239" s="59" t="s">
        <v>125</v>
      </c>
      <c r="Z239" s="31">
        <f>IF(AQ239="5",BJ239,0)</f>
        <v>0</v>
      </c>
      <c r="AB239" s="31">
        <f>IF(AQ239="1",BH239,0)</f>
        <v>0</v>
      </c>
      <c r="AC239" s="31">
        <f>IF(AQ239="1",BI239,0)</f>
        <v>0</v>
      </c>
      <c r="AD239" s="31">
        <f>IF(AQ239="7",BH239,0)</f>
        <v>0</v>
      </c>
      <c r="AE239" s="31">
        <f>IF(AQ239="7",BI239,0)</f>
        <v>0</v>
      </c>
      <c r="AF239" s="31">
        <f>IF(AQ239="2",BH239,0)</f>
        <v>0</v>
      </c>
      <c r="AG239" s="31">
        <f>IF(AQ239="2",BI239,0)</f>
        <v>0</v>
      </c>
      <c r="AH239" s="31">
        <f>IF(AQ239="0",BJ239,0)</f>
        <v>0</v>
      </c>
      <c r="AI239" s="42" t="s">
        <v>85</v>
      </c>
      <c r="AJ239" s="31">
        <f>IF(AN239=0,I239,0)</f>
        <v>0</v>
      </c>
      <c r="AK239" s="31">
        <f>IF(AN239=12,I239,0)</f>
        <v>0</v>
      </c>
      <c r="AL239" s="31">
        <f>IF(AN239=21,I239,0)</f>
        <v>0</v>
      </c>
      <c r="AN239" s="31">
        <v>21</v>
      </c>
      <c r="AO239" s="31">
        <f>H239*0.537359550561798</f>
        <v>0</v>
      </c>
      <c r="AP239" s="31">
        <f>H239*(1-0.537359550561798)</f>
        <v>0</v>
      </c>
      <c r="AQ239" s="32" t="s">
        <v>154</v>
      </c>
      <c r="AV239" s="31">
        <f>AW239+AX239</f>
        <v>0</v>
      </c>
      <c r="AW239" s="31">
        <f>G239*AO239</f>
        <v>0</v>
      </c>
      <c r="AX239" s="31">
        <f>G239*AP239</f>
        <v>0</v>
      </c>
      <c r="AY239" s="32" t="s">
        <v>430</v>
      </c>
      <c r="AZ239" s="32" t="s">
        <v>211</v>
      </c>
      <c r="BA239" s="42" t="s">
        <v>128</v>
      </c>
      <c r="BC239" s="31">
        <f>AW239+AX239</f>
        <v>0</v>
      </c>
      <c r="BD239" s="31">
        <f>H239/(100-BE239)*100</f>
        <v>0</v>
      </c>
      <c r="BE239" s="31">
        <v>0</v>
      </c>
      <c r="BF239" s="31">
        <f>K239</f>
        <v>0</v>
      </c>
      <c r="BH239" s="31">
        <f>G239*AO239</f>
        <v>0</v>
      </c>
      <c r="BI239" s="31">
        <f>G239*AP239</f>
        <v>0</v>
      </c>
      <c r="BJ239" s="31">
        <f>G239*H239</f>
        <v>0</v>
      </c>
      <c r="BK239" s="31"/>
      <c r="BL239" s="31">
        <v>765</v>
      </c>
      <c r="BW239" s="31">
        <v>21</v>
      </c>
    </row>
    <row r="240" spans="1:12" ht="15" customHeight="1">
      <c r="A240" s="60"/>
      <c r="D240" s="61" t="s">
        <v>504</v>
      </c>
      <c r="E240" s="62"/>
      <c r="G240" s="63">
        <v>1080</v>
      </c>
      <c r="L240" s="64"/>
    </row>
    <row r="241" spans="1:75" ht="13.5" customHeight="1">
      <c r="A241" s="30" t="s">
        <v>505</v>
      </c>
      <c r="B241" s="3" t="s">
        <v>85</v>
      </c>
      <c r="C241" s="3" t="s">
        <v>506</v>
      </c>
      <c r="D241" s="78" t="s">
        <v>507</v>
      </c>
      <c r="E241" s="78"/>
      <c r="F241" s="3" t="s">
        <v>209</v>
      </c>
      <c r="G241" s="31">
        <f>'Stavební rozpočet'!G223</f>
        <v>178</v>
      </c>
      <c r="H241" s="170">
        <v>0</v>
      </c>
      <c r="I241" s="31">
        <f>G241*H241</f>
        <v>0</v>
      </c>
      <c r="J241" s="31">
        <f>'Stavební rozpočet'!J223</f>
        <v>0.00051</v>
      </c>
      <c r="K241" s="31">
        <f>G241*J241</f>
        <v>0.09078</v>
      </c>
      <c r="L241" s="59" t="s">
        <v>125</v>
      </c>
      <c r="Z241" s="31">
        <f>IF(AQ241="5",BJ241,0)</f>
        <v>0</v>
      </c>
      <c r="AB241" s="31">
        <f>IF(AQ241="1",BH241,0)</f>
        <v>0</v>
      </c>
      <c r="AC241" s="31">
        <f>IF(AQ241="1",BI241,0)</f>
        <v>0</v>
      </c>
      <c r="AD241" s="31">
        <f>IF(AQ241="7",BH241,0)</f>
        <v>0</v>
      </c>
      <c r="AE241" s="31">
        <f>IF(AQ241="7",BI241,0)</f>
        <v>0</v>
      </c>
      <c r="AF241" s="31">
        <f>IF(AQ241="2",BH241,0)</f>
        <v>0</v>
      </c>
      <c r="AG241" s="31">
        <f>IF(AQ241="2",BI241,0)</f>
        <v>0</v>
      </c>
      <c r="AH241" s="31">
        <f>IF(AQ241="0",BJ241,0)</f>
        <v>0</v>
      </c>
      <c r="AI241" s="42" t="s">
        <v>85</v>
      </c>
      <c r="AJ241" s="31">
        <f>IF(AN241=0,I241,0)</f>
        <v>0</v>
      </c>
      <c r="AK241" s="31">
        <f>IF(AN241=12,I241,0)</f>
        <v>0</v>
      </c>
      <c r="AL241" s="31">
        <f>IF(AN241=21,I241,0)</f>
        <v>0</v>
      </c>
      <c r="AN241" s="31">
        <v>21</v>
      </c>
      <c r="AO241" s="31">
        <f>H241*0.698018018018018</f>
        <v>0</v>
      </c>
      <c r="AP241" s="31">
        <f>H241*(1-0.698018018018018)</f>
        <v>0</v>
      </c>
      <c r="AQ241" s="32" t="s">
        <v>154</v>
      </c>
      <c r="AV241" s="31">
        <f>AW241+AX241</f>
        <v>0</v>
      </c>
      <c r="AW241" s="31">
        <f>G241*AO241</f>
        <v>0</v>
      </c>
      <c r="AX241" s="31">
        <f>G241*AP241</f>
        <v>0</v>
      </c>
      <c r="AY241" s="32" t="s">
        <v>430</v>
      </c>
      <c r="AZ241" s="32" t="s">
        <v>211</v>
      </c>
      <c r="BA241" s="42" t="s">
        <v>128</v>
      </c>
      <c r="BC241" s="31">
        <f>AW241+AX241</f>
        <v>0</v>
      </c>
      <c r="BD241" s="31">
        <f>H241/(100-BE241)*100</f>
        <v>0</v>
      </c>
      <c r="BE241" s="31">
        <v>0</v>
      </c>
      <c r="BF241" s="31">
        <f>K241</f>
        <v>0.09078</v>
      </c>
      <c r="BH241" s="31">
        <f>G241*AO241</f>
        <v>0</v>
      </c>
      <c r="BI241" s="31">
        <f>G241*AP241</f>
        <v>0</v>
      </c>
      <c r="BJ241" s="31">
        <f>G241*H241</f>
        <v>0</v>
      </c>
      <c r="BK241" s="31"/>
      <c r="BL241" s="31">
        <v>765</v>
      </c>
      <c r="BW241" s="31">
        <v>21</v>
      </c>
    </row>
    <row r="242" spans="1:12" ht="15" customHeight="1">
      <c r="A242" s="60"/>
      <c r="D242" s="61" t="s">
        <v>508</v>
      </c>
      <c r="E242" s="62"/>
      <c r="G242" s="63">
        <v>178.00000000000003</v>
      </c>
      <c r="L242" s="64"/>
    </row>
    <row r="243" spans="1:75" ht="13.5" customHeight="1">
      <c r="A243" s="30" t="s">
        <v>509</v>
      </c>
      <c r="B243" s="3" t="s">
        <v>85</v>
      </c>
      <c r="C243" s="3" t="s">
        <v>510</v>
      </c>
      <c r="D243" s="78" t="s">
        <v>511</v>
      </c>
      <c r="E243" s="78"/>
      <c r="F243" s="3" t="s">
        <v>124</v>
      </c>
      <c r="G243" s="31">
        <f>'Stavební rozpočet'!G225</f>
        <v>18.9</v>
      </c>
      <c r="H243" s="170">
        <v>0</v>
      </c>
      <c r="I243" s="31">
        <f>G243*H243</f>
        <v>0</v>
      </c>
      <c r="J243" s="31">
        <f>'Stavební rozpočet'!J225</f>
        <v>0.07331</v>
      </c>
      <c r="K243" s="31">
        <f>G243*J243</f>
        <v>1.385559</v>
      </c>
      <c r="L243" s="59" t="s">
        <v>125</v>
      </c>
      <c r="Z243" s="31">
        <f>IF(AQ243="5",BJ243,0)</f>
        <v>0</v>
      </c>
      <c r="AB243" s="31">
        <f>IF(AQ243="1",BH243,0)</f>
        <v>0</v>
      </c>
      <c r="AC243" s="31">
        <f>IF(AQ243="1",BI243,0)</f>
        <v>0</v>
      </c>
      <c r="AD243" s="31">
        <f>IF(AQ243="7",BH243,0)</f>
        <v>0</v>
      </c>
      <c r="AE243" s="31">
        <f>IF(AQ243="7",BI243,0)</f>
        <v>0</v>
      </c>
      <c r="AF243" s="31">
        <f>IF(AQ243="2",BH243,0)</f>
        <v>0</v>
      </c>
      <c r="AG243" s="31">
        <f>IF(AQ243="2",BI243,0)</f>
        <v>0</v>
      </c>
      <c r="AH243" s="31">
        <f>IF(AQ243="0",BJ243,0)</f>
        <v>0</v>
      </c>
      <c r="AI243" s="42" t="s">
        <v>85</v>
      </c>
      <c r="AJ243" s="31">
        <f>IF(AN243=0,I243,0)</f>
        <v>0</v>
      </c>
      <c r="AK243" s="31">
        <f>IF(AN243=12,I243,0)</f>
        <v>0</v>
      </c>
      <c r="AL243" s="31">
        <f>IF(AN243=21,I243,0)</f>
        <v>0</v>
      </c>
      <c r="AN243" s="31">
        <v>21</v>
      </c>
      <c r="AO243" s="31">
        <f>H243*0.308574585635359</f>
        <v>0</v>
      </c>
      <c r="AP243" s="31">
        <f>H243*(1-0.308574585635359)</f>
        <v>0</v>
      </c>
      <c r="AQ243" s="32" t="s">
        <v>154</v>
      </c>
      <c r="AV243" s="31">
        <f>AW243+AX243</f>
        <v>0</v>
      </c>
      <c r="AW243" s="31">
        <f>G243*AO243</f>
        <v>0</v>
      </c>
      <c r="AX243" s="31">
        <f>G243*AP243</f>
        <v>0</v>
      </c>
      <c r="AY243" s="32" t="s">
        <v>430</v>
      </c>
      <c r="AZ243" s="32" t="s">
        <v>211</v>
      </c>
      <c r="BA243" s="42" t="s">
        <v>128</v>
      </c>
      <c r="BC243" s="31">
        <f>AW243+AX243</f>
        <v>0</v>
      </c>
      <c r="BD243" s="31">
        <f>H243/(100-BE243)*100</f>
        <v>0</v>
      </c>
      <c r="BE243" s="31">
        <v>0</v>
      </c>
      <c r="BF243" s="31">
        <f>K243</f>
        <v>1.385559</v>
      </c>
      <c r="BH243" s="31">
        <f>G243*AO243</f>
        <v>0</v>
      </c>
      <c r="BI243" s="31">
        <f>G243*AP243</f>
        <v>0</v>
      </c>
      <c r="BJ243" s="31">
        <f>G243*H243</f>
        <v>0</v>
      </c>
      <c r="BK243" s="31"/>
      <c r="BL243" s="31">
        <v>765</v>
      </c>
      <c r="BW243" s="31">
        <v>21</v>
      </c>
    </row>
    <row r="244" spans="1:12" ht="15" customHeight="1">
      <c r="A244" s="60"/>
      <c r="D244" s="61" t="s">
        <v>512</v>
      </c>
      <c r="E244" s="62"/>
      <c r="G244" s="63">
        <v>18.900000000000002</v>
      </c>
      <c r="L244" s="64"/>
    </row>
    <row r="245" spans="1:75" ht="13.5" customHeight="1">
      <c r="A245" s="30" t="s">
        <v>513</v>
      </c>
      <c r="B245" s="3" t="s">
        <v>85</v>
      </c>
      <c r="C245" s="3" t="s">
        <v>514</v>
      </c>
      <c r="D245" s="78" t="s">
        <v>515</v>
      </c>
      <c r="E245" s="78"/>
      <c r="F245" s="3" t="s">
        <v>209</v>
      </c>
      <c r="G245" s="31">
        <f>'Stavební rozpočet'!G227</f>
        <v>8</v>
      </c>
      <c r="H245" s="170">
        <v>0</v>
      </c>
      <c r="I245" s="31">
        <f>G245*H245</f>
        <v>0</v>
      </c>
      <c r="J245" s="31">
        <f>'Stavební rozpočet'!J227</f>
        <v>0.0048</v>
      </c>
      <c r="K245" s="31">
        <f>G245*J245</f>
        <v>0.0384</v>
      </c>
      <c r="L245" s="59" t="s">
        <v>125</v>
      </c>
      <c r="Z245" s="31">
        <f>IF(AQ245="5",BJ245,0)</f>
        <v>0</v>
      </c>
      <c r="AB245" s="31">
        <f>IF(AQ245="1",BH245,0)</f>
        <v>0</v>
      </c>
      <c r="AC245" s="31">
        <f>IF(AQ245="1",BI245,0)</f>
        <v>0</v>
      </c>
      <c r="AD245" s="31">
        <f>IF(AQ245="7",BH245,0)</f>
        <v>0</v>
      </c>
      <c r="AE245" s="31">
        <f>IF(AQ245="7",BI245,0)</f>
        <v>0</v>
      </c>
      <c r="AF245" s="31">
        <f>IF(AQ245="2",BH245,0)</f>
        <v>0</v>
      </c>
      <c r="AG245" s="31">
        <f>IF(AQ245="2",BI245,0)</f>
        <v>0</v>
      </c>
      <c r="AH245" s="31">
        <f>IF(AQ245="0",BJ245,0)</f>
        <v>0</v>
      </c>
      <c r="AI245" s="42" t="s">
        <v>85</v>
      </c>
      <c r="AJ245" s="31">
        <f>IF(AN245=0,I245,0)</f>
        <v>0</v>
      </c>
      <c r="AK245" s="31">
        <f>IF(AN245=12,I245,0)</f>
        <v>0</v>
      </c>
      <c r="AL245" s="31">
        <f>IF(AN245=21,I245,0)</f>
        <v>0</v>
      </c>
      <c r="AN245" s="31">
        <v>21</v>
      </c>
      <c r="AO245" s="31">
        <f>H245*0.774796581196581</f>
        <v>0</v>
      </c>
      <c r="AP245" s="31">
        <f>H245*(1-0.774796581196581)</f>
        <v>0</v>
      </c>
      <c r="AQ245" s="32" t="s">
        <v>154</v>
      </c>
      <c r="AV245" s="31">
        <f>AW245+AX245</f>
        <v>0</v>
      </c>
      <c r="AW245" s="31">
        <f>G245*AO245</f>
        <v>0</v>
      </c>
      <c r="AX245" s="31">
        <f>G245*AP245</f>
        <v>0</v>
      </c>
      <c r="AY245" s="32" t="s">
        <v>430</v>
      </c>
      <c r="AZ245" s="32" t="s">
        <v>211</v>
      </c>
      <c r="BA245" s="42" t="s">
        <v>128</v>
      </c>
      <c r="BC245" s="31">
        <f>AW245+AX245</f>
        <v>0</v>
      </c>
      <c r="BD245" s="31">
        <f>H245/(100-BE245)*100</f>
        <v>0</v>
      </c>
      <c r="BE245" s="31">
        <v>0</v>
      </c>
      <c r="BF245" s="31">
        <f>K245</f>
        <v>0.0384</v>
      </c>
      <c r="BH245" s="31">
        <f>G245*AO245</f>
        <v>0</v>
      </c>
      <c r="BI245" s="31">
        <f>G245*AP245</f>
        <v>0</v>
      </c>
      <c r="BJ245" s="31">
        <f>G245*H245</f>
        <v>0</v>
      </c>
      <c r="BK245" s="31"/>
      <c r="BL245" s="31">
        <v>765</v>
      </c>
      <c r="BW245" s="31">
        <v>21</v>
      </c>
    </row>
    <row r="246" spans="1:12" ht="15" customHeight="1">
      <c r="A246" s="60"/>
      <c r="D246" s="61" t="s">
        <v>160</v>
      </c>
      <c r="E246" s="62"/>
      <c r="G246" s="63">
        <v>8</v>
      </c>
      <c r="L246" s="64"/>
    </row>
    <row r="247" spans="1:75" ht="13.5" customHeight="1">
      <c r="A247" s="30" t="s">
        <v>516</v>
      </c>
      <c r="B247" s="3" t="s">
        <v>85</v>
      </c>
      <c r="C247" s="3" t="s">
        <v>517</v>
      </c>
      <c r="D247" s="78" t="s">
        <v>518</v>
      </c>
      <c r="E247" s="78"/>
      <c r="F247" s="3" t="s">
        <v>61</v>
      </c>
      <c r="G247" s="31">
        <f>'Stavební rozpočet'!G229</f>
        <v>3000</v>
      </c>
      <c r="H247" s="170">
        <v>0</v>
      </c>
      <c r="I247" s="31">
        <f>G247*H247</f>
        <v>0</v>
      </c>
      <c r="J247" s="31">
        <f>'Stavební rozpočet'!J229</f>
        <v>0</v>
      </c>
      <c r="K247" s="31">
        <f>G247*J247</f>
        <v>0</v>
      </c>
      <c r="L247" s="59" t="s">
        <v>125</v>
      </c>
      <c r="Z247" s="31">
        <f>IF(AQ247="5",BJ247,0)</f>
        <v>0</v>
      </c>
      <c r="AB247" s="31">
        <f>IF(AQ247="1",BH247,0)</f>
        <v>0</v>
      </c>
      <c r="AC247" s="31">
        <f>IF(AQ247="1",BI247,0)</f>
        <v>0</v>
      </c>
      <c r="AD247" s="31">
        <f>IF(AQ247="7",BH247,0)</f>
        <v>0</v>
      </c>
      <c r="AE247" s="31">
        <f>IF(AQ247="7",BI247,0)</f>
        <v>0</v>
      </c>
      <c r="AF247" s="31">
        <f>IF(AQ247="2",BH247,0)</f>
        <v>0</v>
      </c>
      <c r="AG247" s="31">
        <f>IF(AQ247="2",BI247,0)</f>
        <v>0</v>
      </c>
      <c r="AH247" s="31">
        <f>IF(AQ247="0",BJ247,0)</f>
        <v>0</v>
      </c>
      <c r="AI247" s="42" t="s">
        <v>85</v>
      </c>
      <c r="AJ247" s="31">
        <f>IF(AN247=0,I247,0)</f>
        <v>0</v>
      </c>
      <c r="AK247" s="31">
        <f>IF(AN247=12,I247,0)</f>
        <v>0</v>
      </c>
      <c r="AL247" s="31">
        <f>IF(AN247=21,I247,0)</f>
        <v>0</v>
      </c>
      <c r="AN247" s="31">
        <v>21</v>
      </c>
      <c r="AO247" s="31">
        <f>H247*0</f>
        <v>0</v>
      </c>
      <c r="AP247" s="31">
        <f>H247*(1-0)</f>
        <v>0</v>
      </c>
      <c r="AQ247" s="32" t="s">
        <v>146</v>
      </c>
      <c r="AV247" s="31">
        <f>AW247+AX247</f>
        <v>0</v>
      </c>
      <c r="AW247" s="31">
        <f>G247*AO247</f>
        <v>0</v>
      </c>
      <c r="AX247" s="31">
        <f>G247*AP247</f>
        <v>0</v>
      </c>
      <c r="AY247" s="32" t="s">
        <v>430</v>
      </c>
      <c r="AZ247" s="32" t="s">
        <v>211</v>
      </c>
      <c r="BA247" s="42" t="s">
        <v>128</v>
      </c>
      <c r="BC247" s="31">
        <f>AW247+AX247</f>
        <v>0</v>
      </c>
      <c r="BD247" s="31">
        <f>H247/(100-BE247)*100</f>
        <v>0</v>
      </c>
      <c r="BE247" s="31">
        <v>0</v>
      </c>
      <c r="BF247" s="31">
        <f>K247</f>
        <v>0</v>
      </c>
      <c r="BH247" s="31">
        <f>G247*AO247</f>
        <v>0</v>
      </c>
      <c r="BI247" s="31">
        <f>G247*AP247</f>
        <v>0</v>
      </c>
      <c r="BJ247" s="31">
        <f>G247*H247</f>
        <v>0</v>
      </c>
      <c r="BK247" s="31"/>
      <c r="BL247" s="31">
        <v>765</v>
      </c>
      <c r="BW247" s="31">
        <v>21</v>
      </c>
    </row>
    <row r="248" spans="1:12" ht="15" customHeight="1">
      <c r="A248" s="60"/>
      <c r="D248" s="61" t="s">
        <v>519</v>
      </c>
      <c r="E248" s="62"/>
      <c r="G248" s="63">
        <v>3000.0000000000005</v>
      </c>
      <c r="L248" s="64"/>
    </row>
    <row r="249" spans="1:47" ht="15" customHeight="1">
      <c r="A249" s="55"/>
      <c r="B249" s="56" t="s">
        <v>85</v>
      </c>
      <c r="C249" s="56" t="s">
        <v>520</v>
      </c>
      <c r="D249" s="122" t="s">
        <v>521</v>
      </c>
      <c r="E249" s="122"/>
      <c r="F249" s="57" t="s">
        <v>79</v>
      </c>
      <c r="G249" s="57" t="s">
        <v>79</v>
      </c>
      <c r="H249" s="57" t="s">
        <v>79</v>
      </c>
      <c r="I249" s="36">
        <f>SUM(I250:I259)</f>
        <v>0</v>
      </c>
      <c r="J249" s="42"/>
      <c r="K249" s="36">
        <f>SUM(K250:K259)</f>
        <v>0.548424</v>
      </c>
      <c r="L249" s="58"/>
      <c r="AI249" s="42" t="s">
        <v>85</v>
      </c>
      <c r="AS249" s="36">
        <f>SUM(AJ250:AJ259)</f>
        <v>0</v>
      </c>
      <c r="AT249" s="36">
        <f>SUM(AK250:AK259)</f>
        <v>0</v>
      </c>
      <c r="AU249" s="36">
        <f>SUM(AL250:AL259)</f>
        <v>0</v>
      </c>
    </row>
    <row r="250" spans="1:75" ht="13.5" customHeight="1">
      <c r="A250" s="30" t="s">
        <v>522</v>
      </c>
      <c r="B250" s="3" t="s">
        <v>85</v>
      </c>
      <c r="C250" s="3" t="s">
        <v>523</v>
      </c>
      <c r="D250" s="78" t="s">
        <v>524</v>
      </c>
      <c r="E250" s="78"/>
      <c r="F250" s="3" t="s">
        <v>209</v>
      </c>
      <c r="G250" s="31">
        <f>'Stavební rozpočet'!G232</f>
        <v>282</v>
      </c>
      <c r="H250" s="170">
        <v>0</v>
      </c>
      <c r="I250" s="31">
        <f>G250*H250</f>
        <v>0</v>
      </c>
      <c r="J250" s="31">
        <f>'Stavební rozpočet'!J232</f>
        <v>0.00028</v>
      </c>
      <c r="K250" s="31">
        <f>G250*J250</f>
        <v>0.07895999999999999</v>
      </c>
      <c r="L250" s="59" t="s">
        <v>125</v>
      </c>
      <c r="Z250" s="31">
        <f>IF(AQ250="5",BJ250,0)</f>
        <v>0</v>
      </c>
      <c r="AB250" s="31">
        <f>IF(AQ250="1",BH250,0)</f>
        <v>0</v>
      </c>
      <c r="AC250" s="31">
        <f>IF(AQ250="1",BI250,0)</f>
        <v>0</v>
      </c>
      <c r="AD250" s="31">
        <f>IF(AQ250="7",BH250,0)</f>
        <v>0</v>
      </c>
      <c r="AE250" s="31">
        <f>IF(AQ250="7",BI250,0)</f>
        <v>0</v>
      </c>
      <c r="AF250" s="31">
        <f>IF(AQ250="2",BH250,0)</f>
        <v>0</v>
      </c>
      <c r="AG250" s="31">
        <f>IF(AQ250="2",BI250,0)</f>
        <v>0</v>
      </c>
      <c r="AH250" s="31">
        <f>IF(AQ250="0",BJ250,0)</f>
        <v>0</v>
      </c>
      <c r="AI250" s="42" t="s">
        <v>85</v>
      </c>
      <c r="AJ250" s="31">
        <f>IF(AN250=0,I250,0)</f>
        <v>0</v>
      </c>
      <c r="AK250" s="31">
        <f>IF(AN250=12,I250,0)</f>
        <v>0</v>
      </c>
      <c r="AL250" s="31">
        <f>IF(AN250=21,I250,0)</f>
        <v>0</v>
      </c>
      <c r="AN250" s="31">
        <v>21</v>
      </c>
      <c r="AO250" s="31">
        <f>H250*0.143896103896104</f>
        <v>0</v>
      </c>
      <c r="AP250" s="31">
        <f>H250*(1-0.143896103896104)</f>
        <v>0</v>
      </c>
      <c r="AQ250" s="32" t="s">
        <v>154</v>
      </c>
      <c r="AV250" s="31">
        <f>AW250+AX250</f>
        <v>0</v>
      </c>
      <c r="AW250" s="31">
        <f>G250*AO250</f>
        <v>0</v>
      </c>
      <c r="AX250" s="31">
        <f>G250*AP250</f>
        <v>0</v>
      </c>
      <c r="AY250" s="32" t="s">
        <v>525</v>
      </c>
      <c r="AZ250" s="32" t="s">
        <v>211</v>
      </c>
      <c r="BA250" s="42" t="s">
        <v>128</v>
      </c>
      <c r="BC250" s="31">
        <f>AW250+AX250</f>
        <v>0</v>
      </c>
      <c r="BD250" s="31">
        <f>H250/(100-BE250)*100</f>
        <v>0</v>
      </c>
      <c r="BE250" s="31">
        <v>0</v>
      </c>
      <c r="BF250" s="31">
        <f>K250</f>
        <v>0.07895999999999999</v>
      </c>
      <c r="BH250" s="31">
        <f>G250*AO250</f>
        <v>0</v>
      </c>
      <c r="BI250" s="31">
        <f>G250*AP250</f>
        <v>0</v>
      </c>
      <c r="BJ250" s="31">
        <f>G250*H250</f>
        <v>0</v>
      </c>
      <c r="BK250" s="31"/>
      <c r="BL250" s="31">
        <v>766</v>
      </c>
      <c r="BW250" s="31">
        <v>21</v>
      </c>
    </row>
    <row r="251" spans="1:12" ht="38.1" customHeight="1">
      <c r="A251" s="60"/>
      <c r="D251" s="123" t="s">
        <v>526</v>
      </c>
      <c r="E251" s="123"/>
      <c r="F251" s="123"/>
      <c r="G251" s="123"/>
      <c r="H251" s="123"/>
      <c r="I251" s="123"/>
      <c r="J251" s="123"/>
      <c r="K251" s="123"/>
      <c r="L251" s="123"/>
    </row>
    <row r="252" spans="1:12" ht="15" customHeight="1">
      <c r="A252" s="60"/>
      <c r="D252" s="61" t="s">
        <v>527</v>
      </c>
      <c r="E252" s="62"/>
      <c r="G252" s="63">
        <v>282</v>
      </c>
      <c r="L252" s="64"/>
    </row>
    <row r="253" spans="1:75" ht="13.5" customHeight="1">
      <c r="A253" s="30" t="s">
        <v>528</v>
      </c>
      <c r="B253" s="3" t="s">
        <v>85</v>
      </c>
      <c r="C253" s="3" t="s">
        <v>529</v>
      </c>
      <c r="D253" s="78" t="s">
        <v>530</v>
      </c>
      <c r="E253" s="78"/>
      <c r="F253" s="3" t="s">
        <v>209</v>
      </c>
      <c r="G253" s="31">
        <f>'Stavební rozpočet'!G234</f>
        <v>310.2</v>
      </c>
      <c r="H253" s="170">
        <v>0</v>
      </c>
      <c r="I253" s="31">
        <f>G253*H253</f>
        <v>0</v>
      </c>
      <c r="J253" s="31">
        <f>'Stavební rozpočet'!J234</f>
        <v>0.00132</v>
      </c>
      <c r="K253" s="31">
        <f>G253*J253</f>
        <v>0.409464</v>
      </c>
      <c r="L253" s="59" t="s">
        <v>125</v>
      </c>
      <c r="Z253" s="31">
        <f>IF(AQ253="5",BJ253,0)</f>
        <v>0</v>
      </c>
      <c r="AB253" s="31">
        <f>IF(AQ253="1",BH253,0)</f>
        <v>0</v>
      </c>
      <c r="AC253" s="31">
        <f>IF(AQ253="1",BI253,0)</f>
        <v>0</v>
      </c>
      <c r="AD253" s="31">
        <f>IF(AQ253="7",BH253,0)</f>
        <v>0</v>
      </c>
      <c r="AE253" s="31">
        <f>IF(AQ253="7",BI253,0)</f>
        <v>0</v>
      </c>
      <c r="AF253" s="31">
        <f>IF(AQ253="2",BH253,0)</f>
        <v>0</v>
      </c>
      <c r="AG253" s="31">
        <f>IF(AQ253="2",BI253,0)</f>
        <v>0</v>
      </c>
      <c r="AH253" s="31">
        <f>IF(AQ253="0",BJ253,0)</f>
        <v>0</v>
      </c>
      <c r="AI253" s="42" t="s">
        <v>85</v>
      </c>
      <c r="AJ253" s="31">
        <f>IF(AN253=0,I253,0)</f>
        <v>0</v>
      </c>
      <c r="AK253" s="31">
        <f>IF(AN253=12,I253,0)</f>
        <v>0</v>
      </c>
      <c r="AL253" s="31">
        <f>IF(AN253=21,I253,0)</f>
        <v>0</v>
      </c>
      <c r="AN253" s="31">
        <v>21</v>
      </c>
      <c r="AO253" s="31">
        <f>H253*1</f>
        <v>0</v>
      </c>
      <c r="AP253" s="31">
        <f>H253*(1-1)</f>
        <v>0</v>
      </c>
      <c r="AQ253" s="32" t="s">
        <v>154</v>
      </c>
      <c r="AV253" s="31">
        <f>AW253+AX253</f>
        <v>0</v>
      </c>
      <c r="AW253" s="31">
        <f>G253*AO253</f>
        <v>0</v>
      </c>
      <c r="AX253" s="31">
        <f>G253*AP253</f>
        <v>0</v>
      </c>
      <c r="AY253" s="32" t="s">
        <v>525</v>
      </c>
      <c r="AZ253" s="32" t="s">
        <v>211</v>
      </c>
      <c r="BA253" s="42" t="s">
        <v>128</v>
      </c>
      <c r="BC253" s="31">
        <f>AW253+AX253</f>
        <v>0</v>
      </c>
      <c r="BD253" s="31">
        <f>H253/(100-BE253)*100</f>
        <v>0</v>
      </c>
      <c r="BE253" s="31">
        <v>0</v>
      </c>
      <c r="BF253" s="31">
        <f>K253</f>
        <v>0.409464</v>
      </c>
      <c r="BH253" s="31">
        <f>G253*AO253</f>
        <v>0</v>
      </c>
      <c r="BI253" s="31">
        <f>G253*AP253</f>
        <v>0</v>
      </c>
      <c r="BJ253" s="31">
        <f>G253*H253</f>
        <v>0</v>
      </c>
      <c r="BK253" s="31"/>
      <c r="BL253" s="31">
        <v>766</v>
      </c>
      <c r="BW253" s="31">
        <v>21</v>
      </c>
    </row>
    <row r="254" spans="1:12" ht="15" customHeight="1">
      <c r="A254" s="60"/>
      <c r="D254" s="61" t="s">
        <v>531</v>
      </c>
      <c r="E254" s="62"/>
      <c r="G254" s="63">
        <v>282</v>
      </c>
      <c r="L254" s="64"/>
    </row>
    <row r="255" spans="1:12" ht="15" customHeight="1">
      <c r="A255" s="60"/>
      <c r="D255" s="61" t="s">
        <v>532</v>
      </c>
      <c r="E255" s="62"/>
      <c r="G255" s="63">
        <v>28.200000000000003</v>
      </c>
      <c r="L255" s="64"/>
    </row>
    <row r="256" spans="1:75" ht="13.5" customHeight="1">
      <c r="A256" s="30" t="s">
        <v>533</v>
      </c>
      <c r="B256" s="3" t="s">
        <v>85</v>
      </c>
      <c r="C256" s="3" t="s">
        <v>534</v>
      </c>
      <c r="D256" s="78" t="s">
        <v>535</v>
      </c>
      <c r="E256" s="78"/>
      <c r="F256" s="3" t="s">
        <v>449</v>
      </c>
      <c r="G256" s="31">
        <f>'Stavební rozpočet'!G237</f>
        <v>3</v>
      </c>
      <c r="H256" s="170">
        <v>0</v>
      </c>
      <c r="I256" s="31">
        <f>G256*H256</f>
        <v>0</v>
      </c>
      <c r="J256" s="31">
        <f>'Stavební rozpočet'!J237</f>
        <v>0.02</v>
      </c>
      <c r="K256" s="31">
        <f>G256*J256</f>
        <v>0.06</v>
      </c>
      <c r="L256" s="59"/>
      <c r="Z256" s="31">
        <f>IF(AQ256="5",BJ256,0)</f>
        <v>0</v>
      </c>
      <c r="AB256" s="31">
        <f>IF(AQ256="1",BH256,0)</f>
        <v>0</v>
      </c>
      <c r="AC256" s="31">
        <f>IF(AQ256="1",BI256,0)</f>
        <v>0</v>
      </c>
      <c r="AD256" s="31">
        <f>IF(AQ256="7",BH256,0)</f>
        <v>0</v>
      </c>
      <c r="AE256" s="31">
        <f>IF(AQ256="7",BI256,0)</f>
        <v>0</v>
      </c>
      <c r="AF256" s="31">
        <f>IF(AQ256="2",BH256,0)</f>
        <v>0</v>
      </c>
      <c r="AG256" s="31">
        <f>IF(AQ256="2",BI256,0)</f>
        <v>0</v>
      </c>
      <c r="AH256" s="31">
        <f>IF(AQ256="0",BJ256,0)</f>
        <v>0</v>
      </c>
      <c r="AI256" s="42" t="s">
        <v>85</v>
      </c>
      <c r="AJ256" s="31">
        <f>IF(AN256=0,I256,0)</f>
        <v>0</v>
      </c>
      <c r="AK256" s="31">
        <f>IF(AN256=12,I256,0)</f>
        <v>0</v>
      </c>
      <c r="AL256" s="31">
        <f>IF(AN256=21,I256,0)</f>
        <v>0</v>
      </c>
      <c r="AN256" s="31">
        <v>21</v>
      </c>
      <c r="AO256" s="31">
        <f>H256*0.948905557936848</f>
        <v>0</v>
      </c>
      <c r="AP256" s="31">
        <f>H256*(1-0.948905557936848)</f>
        <v>0</v>
      </c>
      <c r="AQ256" s="32" t="s">
        <v>154</v>
      </c>
      <c r="AV256" s="31">
        <f>AW256+AX256</f>
        <v>0</v>
      </c>
      <c r="AW256" s="31">
        <f>G256*AO256</f>
        <v>0</v>
      </c>
      <c r="AX256" s="31">
        <f>G256*AP256</f>
        <v>0</v>
      </c>
      <c r="AY256" s="32" t="s">
        <v>525</v>
      </c>
      <c r="AZ256" s="32" t="s">
        <v>211</v>
      </c>
      <c r="BA256" s="42" t="s">
        <v>128</v>
      </c>
      <c r="BC256" s="31">
        <f>AW256+AX256</f>
        <v>0</v>
      </c>
      <c r="BD256" s="31">
        <f>H256/(100-BE256)*100</f>
        <v>0</v>
      </c>
      <c r="BE256" s="31">
        <v>0</v>
      </c>
      <c r="BF256" s="31">
        <f>K256</f>
        <v>0.06</v>
      </c>
      <c r="BH256" s="31">
        <f>G256*AO256</f>
        <v>0</v>
      </c>
      <c r="BI256" s="31">
        <f>G256*AP256</f>
        <v>0</v>
      </c>
      <c r="BJ256" s="31">
        <f>G256*H256</f>
        <v>0</v>
      </c>
      <c r="BK256" s="31"/>
      <c r="BL256" s="31">
        <v>766</v>
      </c>
      <c r="BW256" s="31">
        <v>21</v>
      </c>
    </row>
    <row r="257" spans="1:12" ht="13.5" customHeight="1">
      <c r="A257" s="60"/>
      <c r="D257" s="123" t="s">
        <v>536</v>
      </c>
      <c r="E257" s="123"/>
      <c r="F257" s="123"/>
      <c r="G257" s="123"/>
      <c r="H257" s="123"/>
      <c r="I257" s="123"/>
      <c r="J257" s="123"/>
      <c r="K257" s="123"/>
      <c r="L257" s="123"/>
    </row>
    <row r="258" spans="1:12" ht="15" customHeight="1">
      <c r="A258" s="60"/>
      <c r="D258" s="61" t="s">
        <v>537</v>
      </c>
      <c r="E258" s="62"/>
      <c r="G258" s="63">
        <v>3.0000000000000004</v>
      </c>
      <c r="L258" s="64"/>
    </row>
    <row r="259" spans="1:75" ht="13.5" customHeight="1">
      <c r="A259" s="30" t="s">
        <v>538</v>
      </c>
      <c r="B259" s="3" t="s">
        <v>85</v>
      </c>
      <c r="C259" s="3" t="s">
        <v>539</v>
      </c>
      <c r="D259" s="78" t="s">
        <v>540</v>
      </c>
      <c r="E259" s="78"/>
      <c r="F259" s="3" t="s">
        <v>61</v>
      </c>
      <c r="G259" s="31">
        <f>'Stavební rozpočet'!G239</f>
        <v>1000</v>
      </c>
      <c r="H259" s="170">
        <v>0</v>
      </c>
      <c r="I259" s="31">
        <f>G259*H259</f>
        <v>0</v>
      </c>
      <c r="J259" s="31">
        <f>'Stavební rozpočet'!J239</f>
        <v>0</v>
      </c>
      <c r="K259" s="31">
        <f>G259*J259</f>
        <v>0</v>
      </c>
      <c r="L259" s="59" t="s">
        <v>125</v>
      </c>
      <c r="Z259" s="31">
        <f>IF(AQ259="5",BJ259,0)</f>
        <v>0</v>
      </c>
      <c r="AB259" s="31">
        <f>IF(AQ259="1",BH259,0)</f>
        <v>0</v>
      </c>
      <c r="AC259" s="31">
        <f>IF(AQ259="1",BI259,0)</f>
        <v>0</v>
      </c>
      <c r="AD259" s="31">
        <f>IF(AQ259="7",BH259,0)</f>
        <v>0</v>
      </c>
      <c r="AE259" s="31">
        <f>IF(AQ259="7",BI259,0)</f>
        <v>0</v>
      </c>
      <c r="AF259" s="31">
        <f>IF(AQ259="2",BH259,0)</f>
        <v>0</v>
      </c>
      <c r="AG259" s="31">
        <f>IF(AQ259="2",BI259,0)</f>
        <v>0</v>
      </c>
      <c r="AH259" s="31">
        <f>IF(AQ259="0",BJ259,0)</f>
        <v>0</v>
      </c>
      <c r="AI259" s="42" t="s">
        <v>85</v>
      </c>
      <c r="AJ259" s="31">
        <f>IF(AN259=0,I259,0)</f>
        <v>0</v>
      </c>
      <c r="AK259" s="31">
        <f>IF(AN259=12,I259,0)</f>
        <v>0</v>
      </c>
      <c r="AL259" s="31">
        <f>IF(AN259=21,I259,0)</f>
        <v>0</v>
      </c>
      <c r="AN259" s="31">
        <v>21</v>
      </c>
      <c r="AO259" s="31">
        <f>H259*0</f>
        <v>0</v>
      </c>
      <c r="AP259" s="31">
        <f>H259*(1-0)</f>
        <v>0</v>
      </c>
      <c r="AQ259" s="32" t="s">
        <v>146</v>
      </c>
      <c r="AV259" s="31">
        <f>AW259+AX259</f>
        <v>0</v>
      </c>
      <c r="AW259" s="31">
        <f>G259*AO259</f>
        <v>0</v>
      </c>
      <c r="AX259" s="31">
        <f>G259*AP259</f>
        <v>0</v>
      </c>
      <c r="AY259" s="32" t="s">
        <v>525</v>
      </c>
      <c r="AZ259" s="32" t="s">
        <v>211</v>
      </c>
      <c r="BA259" s="42" t="s">
        <v>128</v>
      </c>
      <c r="BC259" s="31">
        <f>AW259+AX259</f>
        <v>0</v>
      </c>
      <c r="BD259" s="31">
        <f>H259/(100-BE259)*100</f>
        <v>0</v>
      </c>
      <c r="BE259" s="31">
        <v>0</v>
      </c>
      <c r="BF259" s="31">
        <f>K259</f>
        <v>0</v>
      </c>
      <c r="BH259" s="31">
        <f>G259*AO259</f>
        <v>0</v>
      </c>
      <c r="BI259" s="31">
        <f>G259*AP259</f>
        <v>0</v>
      </c>
      <c r="BJ259" s="31">
        <f>G259*H259</f>
        <v>0</v>
      </c>
      <c r="BK259" s="31"/>
      <c r="BL259" s="31">
        <v>766</v>
      </c>
      <c r="BW259" s="31">
        <v>21</v>
      </c>
    </row>
    <row r="260" spans="1:12" ht="15" customHeight="1">
      <c r="A260" s="60"/>
      <c r="D260" s="61" t="s">
        <v>203</v>
      </c>
      <c r="E260" s="62"/>
      <c r="G260" s="63">
        <v>1000.0000000000001</v>
      </c>
      <c r="L260" s="64"/>
    </row>
    <row r="261" spans="1:47" ht="15" customHeight="1">
      <c r="A261" s="55"/>
      <c r="B261" s="56" t="s">
        <v>85</v>
      </c>
      <c r="C261" s="56" t="s">
        <v>541</v>
      </c>
      <c r="D261" s="122" t="s">
        <v>542</v>
      </c>
      <c r="E261" s="122"/>
      <c r="F261" s="57" t="s">
        <v>79</v>
      </c>
      <c r="G261" s="57" t="s">
        <v>79</v>
      </c>
      <c r="H261" s="57" t="s">
        <v>79</v>
      </c>
      <c r="I261" s="36">
        <f>SUM(I262:I279)</f>
        <v>0</v>
      </c>
      <c r="J261" s="42"/>
      <c r="K261" s="36">
        <f>SUM(K262:K279)</f>
        <v>0.12168005600000001</v>
      </c>
      <c r="L261" s="58"/>
      <c r="AI261" s="42" t="s">
        <v>85</v>
      </c>
      <c r="AS261" s="36">
        <f>SUM(AJ262:AJ279)</f>
        <v>0</v>
      </c>
      <c r="AT261" s="36">
        <f>SUM(AK262:AK279)</f>
        <v>0</v>
      </c>
      <c r="AU261" s="36">
        <f>SUM(AL262:AL279)</f>
        <v>0</v>
      </c>
    </row>
    <row r="262" spans="1:75" ht="13.5" customHeight="1">
      <c r="A262" s="30" t="s">
        <v>543</v>
      </c>
      <c r="B262" s="3" t="s">
        <v>85</v>
      </c>
      <c r="C262" s="3" t="s">
        <v>544</v>
      </c>
      <c r="D262" s="78" t="s">
        <v>545</v>
      </c>
      <c r="E262" s="78"/>
      <c r="F262" s="3" t="s">
        <v>124</v>
      </c>
      <c r="G262" s="31">
        <f>'Stavební rozpočet'!G242</f>
        <v>64.832</v>
      </c>
      <c r="H262" s="170">
        <v>0</v>
      </c>
      <c r="I262" s="31">
        <f>G262*H262</f>
        <v>0</v>
      </c>
      <c r="J262" s="31">
        <f>'Stavební rozpočet'!J242</f>
        <v>0.00032</v>
      </c>
      <c r="K262" s="31">
        <f>G262*J262</f>
        <v>0.02074624</v>
      </c>
      <c r="L262" s="59" t="s">
        <v>125</v>
      </c>
      <c r="Z262" s="31">
        <f>IF(AQ262="5",BJ262,0)</f>
        <v>0</v>
      </c>
      <c r="AB262" s="31">
        <f>IF(AQ262="1",BH262,0)</f>
        <v>0</v>
      </c>
      <c r="AC262" s="31">
        <f>IF(AQ262="1",BI262,0)</f>
        <v>0</v>
      </c>
      <c r="AD262" s="31">
        <f>IF(AQ262="7",BH262,0)</f>
        <v>0</v>
      </c>
      <c r="AE262" s="31">
        <f>IF(AQ262="7",BI262,0)</f>
        <v>0</v>
      </c>
      <c r="AF262" s="31">
        <f>IF(AQ262="2",BH262,0)</f>
        <v>0</v>
      </c>
      <c r="AG262" s="31">
        <f>IF(AQ262="2",BI262,0)</f>
        <v>0</v>
      </c>
      <c r="AH262" s="31">
        <f>IF(AQ262="0",BJ262,0)</f>
        <v>0</v>
      </c>
      <c r="AI262" s="42" t="s">
        <v>85</v>
      </c>
      <c r="AJ262" s="31">
        <f>IF(AN262=0,I262,0)</f>
        <v>0</v>
      </c>
      <c r="AK262" s="31">
        <f>IF(AN262=12,I262,0)</f>
        <v>0</v>
      </c>
      <c r="AL262" s="31">
        <f>IF(AN262=21,I262,0)</f>
        <v>0</v>
      </c>
      <c r="AN262" s="31">
        <v>21</v>
      </c>
      <c r="AO262" s="31">
        <f>H262*0.189655642520122</f>
        <v>0</v>
      </c>
      <c r="AP262" s="31">
        <f>H262*(1-0.189655642520122)</f>
        <v>0</v>
      </c>
      <c r="AQ262" s="32" t="s">
        <v>154</v>
      </c>
      <c r="AV262" s="31">
        <f>AW262+AX262</f>
        <v>0</v>
      </c>
      <c r="AW262" s="31">
        <f>G262*AO262</f>
        <v>0</v>
      </c>
      <c r="AX262" s="31">
        <f>G262*AP262</f>
        <v>0</v>
      </c>
      <c r="AY262" s="32" t="s">
        <v>546</v>
      </c>
      <c r="AZ262" s="32" t="s">
        <v>547</v>
      </c>
      <c r="BA262" s="42" t="s">
        <v>128</v>
      </c>
      <c r="BC262" s="31">
        <f>AW262+AX262</f>
        <v>0</v>
      </c>
      <c r="BD262" s="31">
        <f>H262/(100-BE262)*100</f>
        <v>0</v>
      </c>
      <c r="BE262" s="31">
        <v>0</v>
      </c>
      <c r="BF262" s="31">
        <f>K262</f>
        <v>0.02074624</v>
      </c>
      <c r="BH262" s="31">
        <f>G262*AO262</f>
        <v>0</v>
      </c>
      <c r="BI262" s="31">
        <f>G262*AP262</f>
        <v>0</v>
      </c>
      <c r="BJ262" s="31">
        <f>G262*H262</f>
        <v>0</v>
      </c>
      <c r="BK262" s="31"/>
      <c r="BL262" s="31">
        <v>783</v>
      </c>
      <c r="BW262" s="31">
        <v>21</v>
      </c>
    </row>
    <row r="263" spans="1:12" ht="15" customHeight="1">
      <c r="A263" s="60"/>
      <c r="D263" s="61" t="s">
        <v>548</v>
      </c>
      <c r="E263" s="62"/>
      <c r="G263" s="63">
        <v>64.83200000000001</v>
      </c>
      <c r="L263" s="64"/>
    </row>
    <row r="264" spans="1:75" ht="13.5" customHeight="1">
      <c r="A264" s="30" t="s">
        <v>549</v>
      </c>
      <c r="B264" s="3" t="s">
        <v>85</v>
      </c>
      <c r="C264" s="3" t="s">
        <v>550</v>
      </c>
      <c r="D264" s="78" t="s">
        <v>551</v>
      </c>
      <c r="E264" s="78"/>
      <c r="F264" s="3" t="s">
        <v>124</v>
      </c>
      <c r="G264" s="31">
        <f>'Stavební rozpočet'!G244</f>
        <v>626.7826</v>
      </c>
      <c r="H264" s="170">
        <v>0</v>
      </c>
      <c r="I264" s="31">
        <f>G264*H264</f>
        <v>0</v>
      </c>
      <c r="J264" s="31">
        <f>'Stavební rozpočet'!J244</f>
        <v>0.00016</v>
      </c>
      <c r="K264" s="31">
        <f>G264*J264</f>
        <v>0.10028521600000001</v>
      </c>
      <c r="L264" s="59" t="s">
        <v>125</v>
      </c>
      <c r="Z264" s="31">
        <f>IF(AQ264="5",BJ264,0)</f>
        <v>0</v>
      </c>
      <c r="AB264" s="31">
        <f>IF(AQ264="1",BH264,0)</f>
        <v>0</v>
      </c>
      <c r="AC264" s="31">
        <f>IF(AQ264="1",BI264,0)</f>
        <v>0</v>
      </c>
      <c r="AD264" s="31">
        <f>IF(AQ264="7",BH264,0)</f>
        <v>0</v>
      </c>
      <c r="AE264" s="31">
        <f>IF(AQ264="7",BI264,0)</f>
        <v>0</v>
      </c>
      <c r="AF264" s="31">
        <f>IF(AQ264="2",BH264,0)</f>
        <v>0</v>
      </c>
      <c r="AG264" s="31">
        <f>IF(AQ264="2",BI264,0)</f>
        <v>0</v>
      </c>
      <c r="AH264" s="31">
        <f>IF(AQ264="0",BJ264,0)</f>
        <v>0</v>
      </c>
      <c r="AI264" s="42" t="s">
        <v>85</v>
      </c>
      <c r="AJ264" s="31">
        <f>IF(AN264=0,I264,0)</f>
        <v>0</v>
      </c>
      <c r="AK264" s="31">
        <f>IF(AN264=12,I264,0)</f>
        <v>0</v>
      </c>
      <c r="AL264" s="31">
        <f>IF(AN264=21,I264,0)</f>
        <v>0</v>
      </c>
      <c r="AN264" s="31">
        <v>21</v>
      </c>
      <c r="AO264" s="31">
        <f>H264*0.239506300041364</f>
        <v>0</v>
      </c>
      <c r="AP264" s="31">
        <f>H264*(1-0.239506300041364)</f>
        <v>0</v>
      </c>
      <c r="AQ264" s="32" t="s">
        <v>154</v>
      </c>
      <c r="AV264" s="31">
        <f>AW264+AX264</f>
        <v>0</v>
      </c>
      <c r="AW264" s="31">
        <f>G264*AO264</f>
        <v>0</v>
      </c>
      <c r="AX264" s="31">
        <f>G264*AP264</f>
        <v>0</v>
      </c>
      <c r="AY264" s="32" t="s">
        <v>546</v>
      </c>
      <c r="AZ264" s="32" t="s">
        <v>547</v>
      </c>
      <c r="BA264" s="42" t="s">
        <v>128</v>
      </c>
      <c r="BC264" s="31">
        <f>AW264+AX264</f>
        <v>0</v>
      </c>
      <c r="BD264" s="31">
        <f>H264/(100-BE264)*100</f>
        <v>0</v>
      </c>
      <c r="BE264" s="31">
        <v>0</v>
      </c>
      <c r="BF264" s="31">
        <f>K264</f>
        <v>0.10028521600000001</v>
      </c>
      <c r="BH264" s="31">
        <f>G264*AO264</f>
        <v>0</v>
      </c>
      <c r="BI264" s="31">
        <f>G264*AP264</f>
        <v>0</v>
      </c>
      <c r="BJ264" s="31">
        <f>G264*H264</f>
        <v>0</v>
      </c>
      <c r="BK264" s="31"/>
      <c r="BL264" s="31">
        <v>783</v>
      </c>
      <c r="BW264" s="31">
        <v>21</v>
      </c>
    </row>
    <row r="265" spans="1:12" ht="13.5" customHeight="1">
      <c r="A265" s="60"/>
      <c r="D265" s="123" t="s">
        <v>552</v>
      </c>
      <c r="E265" s="123"/>
      <c r="F265" s="123"/>
      <c r="G265" s="123"/>
      <c r="H265" s="123"/>
      <c r="I265" s="123"/>
      <c r="J265" s="123"/>
      <c r="K265" s="123"/>
      <c r="L265" s="123"/>
    </row>
    <row r="266" spans="1:12" ht="15" customHeight="1">
      <c r="A266" s="60"/>
      <c r="D266" s="61" t="s">
        <v>553</v>
      </c>
      <c r="E266" s="62"/>
      <c r="G266" s="63">
        <v>76.12</v>
      </c>
      <c r="L266" s="64"/>
    </row>
    <row r="267" spans="1:12" ht="15" customHeight="1">
      <c r="A267" s="60"/>
      <c r="D267" s="61" t="s">
        <v>554</v>
      </c>
      <c r="E267" s="62"/>
      <c r="G267" s="63">
        <v>8.035200000000001</v>
      </c>
      <c r="L267" s="64"/>
    </row>
    <row r="268" spans="1:12" ht="15" customHeight="1">
      <c r="A268" s="60"/>
      <c r="D268" s="61" t="s">
        <v>555</v>
      </c>
      <c r="E268" s="62"/>
      <c r="G268" s="63">
        <v>112.27600000000001</v>
      </c>
      <c r="L268" s="64"/>
    </row>
    <row r="269" spans="1:12" ht="15" customHeight="1">
      <c r="A269" s="60"/>
      <c r="D269" s="61" t="s">
        <v>556</v>
      </c>
      <c r="E269" s="62"/>
      <c r="G269" s="63">
        <v>22.341600000000003</v>
      </c>
      <c r="L269" s="64"/>
    </row>
    <row r="270" spans="1:12" ht="15" customHeight="1">
      <c r="A270" s="60"/>
      <c r="D270" s="61" t="s">
        <v>557</v>
      </c>
      <c r="E270" s="62"/>
      <c r="G270" s="63">
        <v>30.69</v>
      </c>
      <c r="L270" s="64"/>
    </row>
    <row r="271" spans="1:12" ht="15" customHeight="1">
      <c r="A271" s="60"/>
      <c r="D271" s="61" t="s">
        <v>558</v>
      </c>
      <c r="E271" s="62"/>
      <c r="G271" s="63">
        <v>14.8596</v>
      </c>
      <c r="L271" s="64"/>
    </row>
    <row r="272" spans="1:12" ht="15" customHeight="1">
      <c r="A272" s="60"/>
      <c r="D272" s="61" t="s">
        <v>559</v>
      </c>
      <c r="E272" s="62"/>
      <c r="G272" s="63">
        <v>42.132000000000005</v>
      </c>
      <c r="L272" s="64"/>
    </row>
    <row r="273" spans="1:12" ht="15" customHeight="1">
      <c r="A273" s="60"/>
      <c r="D273" s="61" t="s">
        <v>560</v>
      </c>
      <c r="E273" s="62"/>
      <c r="G273" s="63">
        <v>11.520000000000001</v>
      </c>
      <c r="L273" s="64"/>
    </row>
    <row r="274" spans="1:12" ht="15" customHeight="1">
      <c r="A274" s="60"/>
      <c r="D274" s="61" t="s">
        <v>561</v>
      </c>
      <c r="E274" s="62"/>
      <c r="G274" s="63">
        <v>258.11060000000003</v>
      </c>
      <c r="L274" s="64"/>
    </row>
    <row r="275" spans="1:12" ht="15" customHeight="1">
      <c r="A275" s="60"/>
      <c r="D275" s="61" t="s">
        <v>562</v>
      </c>
      <c r="E275" s="62"/>
      <c r="G275" s="63">
        <v>39.55200000000001</v>
      </c>
      <c r="L275" s="64"/>
    </row>
    <row r="276" spans="1:12" ht="15" customHeight="1">
      <c r="A276" s="60"/>
      <c r="D276" s="61" t="s">
        <v>563</v>
      </c>
      <c r="E276" s="62"/>
      <c r="G276" s="63">
        <v>11.145600000000002</v>
      </c>
      <c r="L276" s="64"/>
    </row>
    <row r="277" spans="1:75" ht="13.5" customHeight="1">
      <c r="A277" s="30" t="s">
        <v>564</v>
      </c>
      <c r="B277" s="3" t="s">
        <v>85</v>
      </c>
      <c r="C277" s="3" t="s">
        <v>565</v>
      </c>
      <c r="D277" s="78" t="s">
        <v>566</v>
      </c>
      <c r="E277" s="78"/>
      <c r="F277" s="3" t="s">
        <v>124</v>
      </c>
      <c r="G277" s="31">
        <f>'Stavební rozpočet'!G256</f>
        <v>1.41</v>
      </c>
      <c r="H277" s="170">
        <v>0</v>
      </c>
      <c r="I277" s="31">
        <f>G277*H277</f>
        <v>0</v>
      </c>
      <c r="J277" s="31">
        <f>'Stavební rozpočet'!J256</f>
        <v>0.00015</v>
      </c>
      <c r="K277" s="31">
        <f>G277*J277</f>
        <v>0.00021149999999999996</v>
      </c>
      <c r="L277" s="59" t="s">
        <v>125</v>
      </c>
      <c r="Z277" s="31">
        <f>IF(AQ277="5",BJ277,0)</f>
        <v>0</v>
      </c>
      <c r="AB277" s="31">
        <f>IF(AQ277="1",BH277,0)</f>
        <v>0</v>
      </c>
      <c r="AC277" s="31">
        <f>IF(AQ277="1",BI277,0)</f>
        <v>0</v>
      </c>
      <c r="AD277" s="31">
        <f>IF(AQ277="7",BH277,0)</f>
        <v>0</v>
      </c>
      <c r="AE277" s="31">
        <f>IF(AQ277="7",BI277,0)</f>
        <v>0</v>
      </c>
      <c r="AF277" s="31">
        <f>IF(AQ277="2",BH277,0)</f>
        <v>0</v>
      </c>
      <c r="AG277" s="31">
        <f>IF(AQ277="2",BI277,0)</f>
        <v>0</v>
      </c>
      <c r="AH277" s="31">
        <f>IF(AQ277="0",BJ277,0)</f>
        <v>0</v>
      </c>
      <c r="AI277" s="42" t="s">
        <v>85</v>
      </c>
      <c r="AJ277" s="31">
        <f>IF(AN277=0,I277,0)</f>
        <v>0</v>
      </c>
      <c r="AK277" s="31">
        <f>IF(AN277=12,I277,0)</f>
        <v>0</v>
      </c>
      <c r="AL277" s="31">
        <f>IF(AN277=21,I277,0)</f>
        <v>0</v>
      </c>
      <c r="AN277" s="31">
        <v>21</v>
      </c>
      <c r="AO277" s="31">
        <f>H277*0.591012631578947</f>
        <v>0</v>
      </c>
      <c r="AP277" s="31">
        <f>H277*(1-0.591012631578947)</f>
        <v>0</v>
      </c>
      <c r="AQ277" s="32" t="s">
        <v>154</v>
      </c>
      <c r="AV277" s="31">
        <f>AW277+AX277</f>
        <v>0</v>
      </c>
      <c r="AW277" s="31">
        <f>G277*AO277</f>
        <v>0</v>
      </c>
      <c r="AX277" s="31">
        <f>G277*AP277</f>
        <v>0</v>
      </c>
      <c r="AY277" s="32" t="s">
        <v>546</v>
      </c>
      <c r="AZ277" s="32" t="s">
        <v>547</v>
      </c>
      <c r="BA277" s="42" t="s">
        <v>128</v>
      </c>
      <c r="BC277" s="31">
        <f>AW277+AX277</f>
        <v>0</v>
      </c>
      <c r="BD277" s="31">
        <f>H277/(100-BE277)*100</f>
        <v>0</v>
      </c>
      <c r="BE277" s="31">
        <v>0</v>
      </c>
      <c r="BF277" s="31">
        <f>K277</f>
        <v>0.00021149999999999996</v>
      </c>
      <c r="BH277" s="31">
        <f>G277*AO277</f>
        <v>0</v>
      </c>
      <c r="BI277" s="31">
        <f>G277*AP277</f>
        <v>0</v>
      </c>
      <c r="BJ277" s="31">
        <f>G277*H277</f>
        <v>0</v>
      </c>
      <c r="BK277" s="31"/>
      <c r="BL277" s="31">
        <v>783</v>
      </c>
      <c r="BW277" s="31">
        <v>21</v>
      </c>
    </row>
    <row r="278" spans="1:12" ht="15" customHeight="1">
      <c r="A278" s="60"/>
      <c r="D278" s="61" t="s">
        <v>567</v>
      </c>
      <c r="E278" s="62"/>
      <c r="G278" s="63">
        <v>1.41</v>
      </c>
      <c r="L278" s="64"/>
    </row>
    <row r="279" spans="1:75" ht="13.5" customHeight="1">
      <c r="A279" s="30" t="s">
        <v>568</v>
      </c>
      <c r="B279" s="3" t="s">
        <v>85</v>
      </c>
      <c r="C279" s="3" t="s">
        <v>569</v>
      </c>
      <c r="D279" s="78" t="s">
        <v>570</v>
      </c>
      <c r="E279" s="78"/>
      <c r="F279" s="3" t="s">
        <v>124</v>
      </c>
      <c r="G279" s="31">
        <f>'Stavební rozpočet'!G258</f>
        <v>1.41</v>
      </c>
      <c r="H279" s="170">
        <v>0</v>
      </c>
      <c r="I279" s="31">
        <f>G279*H279</f>
        <v>0</v>
      </c>
      <c r="J279" s="31">
        <f>'Stavební rozpočet'!J258</f>
        <v>0.00031</v>
      </c>
      <c r="K279" s="31">
        <f>G279*J279</f>
        <v>0.0004371</v>
      </c>
      <c r="L279" s="59" t="s">
        <v>125</v>
      </c>
      <c r="Z279" s="31">
        <f>IF(AQ279="5",BJ279,0)</f>
        <v>0</v>
      </c>
      <c r="AB279" s="31">
        <f>IF(AQ279="1",BH279,0)</f>
        <v>0</v>
      </c>
      <c r="AC279" s="31">
        <f>IF(AQ279="1",BI279,0)</f>
        <v>0</v>
      </c>
      <c r="AD279" s="31">
        <f>IF(AQ279="7",BH279,0)</f>
        <v>0</v>
      </c>
      <c r="AE279" s="31">
        <f>IF(AQ279="7",BI279,0)</f>
        <v>0</v>
      </c>
      <c r="AF279" s="31">
        <f>IF(AQ279="2",BH279,0)</f>
        <v>0</v>
      </c>
      <c r="AG279" s="31">
        <f>IF(AQ279="2",BI279,0)</f>
        <v>0</v>
      </c>
      <c r="AH279" s="31">
        <f>IF(AQ279="0",BJ279,0)</f>
        <v>0</v>
      </c>
      <c r="AI279" s="42" t="s">
        <v>85</v>
      </c>
      <c r="AJ279" s="31">
        <f>IF(AN279=0,I279,0)</f>
        <v>0</v>
      </c>
      <c r="AK279" s="31">
        <f>IF(AN279=12,I279,0)</f>
        <v>0</v>
      </c>
      <c r="AL279" s="31">
        <f>IF(AN279=21,I279,0)</f>
        <v>0</v>
      </c>
      <c r="AN279" s="31">
        <v>21</v>
      </c>
      <c r="AO279" s="31">
        <f>H279*0.382599238457877</f>
        <v>0</v>
      </c>
      <c r="AP279" s="31">
        <f>H279*(1-0.382599238457877)</f>
        <v>0</v>
      </c>
      <c r="AQ279" s="32" t="s">
        <v>154</v>
      </c>
      <c r="AV279" s="31">
        <f>AW279+AX279</f>
        <v>0</v>
      </c>
      <c r="AW279" s="31">
        <f>G279*AO279</f>
        <v>0</v>
      </c>
      <c r="AX279" s="31">
        <f>G279*AP279</f>
        <v>0</v>
      </c>
      <c r="AY279" s="32" t="s">
        <v>546</v>
      </c>
      <c r="AZ279" s="32" t="s">
        <v>547</v>
      </c>
      <c r="BA279" s="42" t="s">
        <v>128</v>
      </c>
      <c r="BC279" s="31">
        <f>AW279+AX279</f>
        <v>0</v>
      </c>
      <c r="BD279" s="31">
        <f>H279/(100-BE279)*100</f>
        <v>0</v>
      </c>
      <c r="BE279" s="31">
        <v>0</v>
      </c>
      <c r="BF279" s="31">
        <f>K279</f>
        <v>0.0004371</v>
      </c>
      <c r="BH279" s="31">
        <f>G279*AO279</f>
        <v>0</v>
      </c>
      <c r="BI279" s="31">
        <f>G279*AP279</f>
        <v>0</v>
      </c>
      <c r="BJ279" s="31">
        <f>G279*H279</f>
        <v>0</v>
      </c>
      <c r="BK279" s="31"/>
      <c r="BL279" s="31">
        <v>783</v>
      </c>
      <c r="BW279" s="31">
        <v>21</v>
      </c>
    </row>
    <row r="280" spans="1:12" ht="15" customHeight="1">
      <c r="A280" s="60"/>
      <c r="D280" s="61" t="s">
        <v>567</v>
      </c>
      <c r="E280" s="62"/>
      <c r="G280" s="63">
        <v>1.41</v>
      </c>
      <c r="L280" s="64"/>
    </row>
    <row r="281" spans="1:47" ht="15" customHeight="1">
      <c r="A281" s="55"/>
      <c r="B281" s="56" t="s">
        <v>85</v>
      </c>
      <c r="C281" s="56" t="s">
        <v>571</v>
      </c>
      <c r="D281" s="122" t="s">
        <v>572</v>
      </c>
      <c r="E281" s="122"/>
      <c r="F281" s="57" t="s">
        <v>79</v>
      </c>
      <c r="G281" s="57" t="s">
        <v>79</v>
      </c>
      <c r="H281" s="57" t="s">
        <v>79</v>
      </c>
      <c r="I281" s="36">
        <f>SUM(I282:I296)</f>
        <v>0</v>
      </c>
      <c r="J281" s="42"/>
      <c r="K281" s="36">
        <f>SUM(K282:K296)</f>
        <v>12.010608679999999</v>
      </c>
      <c r="L281" s="58"/>
      <c r="AI281" s="42" t="s">
        <v>85</v>
      </c>
      <c r="AS281" s="36">
        <f>SUM(AJ282:AJ296)</f>
        <v>0</v>
      </c>
      <c r="AT281" s="36">
        <f>SUM(AK282:AK296)</f>
        <v>0</v>
      </c>
      <c r="AU281" s="36">
        <f>SUM(AL282:AL296)</f>
        <v>0</v>
      </c>
    </row>
    <row r="282" spans="1:75" ht="13.5" customHeight="1">
      <c r="A282" s="30" t="s">
        <v>573</v>
      </c>
      <c r="B282" s="3" t="s">
        <v>85</v>
      </c>
      <c r="C282" s="3" t="s">
        <v>574</v>
      </c>
      <c r="D282" s="78" t="s">
        <v>575</v>
      </c>
      <c r="E282" s="78"/>
      <c r="F282" s="3" t="s">
        <v>124</v>
      </c>
      <c r="G282" s="31">
        <f>'Stavební rozpočet'!G261</f>
        <v>606.511</v>
      </c>
      <c r="H282" s="170">
        <v>0</v>
      </c>
      <c r="I282" s="31">
        <f>G282*H282</f>
        <v>0</v>
      </c>
      <c r="J282" s="31">
        <f>'Stavební rozpočet'!J261</f>
        <v>0.01838</v>
      </c>
      <c r="K282" s="31">
        <f>G282*J282</f>
        <v>11.147672179999999</v>
      </c>
      <c r="L282" s="59" t="s">
        <v>125</v>
      </c>
      <c r="Z282" s="31">
        <f>IF(AQ282="5",BJ282,0)</f>
        <v>0</v>
      </c>
      <c r="AB282" s="31">
        <f>IF(AQ282="1",BH282,0)</f>
        <v>0</v>
      </c>
      <c r="AC282" s="31">
        <f>IF(AQ282="1",BI282,0)</f>
        <v>0</v>
      </c>
      <c r="AD282" s="31">
        <f>IF(AQ282="7",BH282,0)</f>
        <v>0</v>
      </c>
      <c r="AE282" s="31">
        <f>IF(AQ282="7",BI282,0)</f>
        <v>0</v>
      </c>
      <c r="AF282" s="31">
        <f>IF(AQ282="2",BH282,0)</f>
        <v>0</v>
      </c>
      <c r="AG282" s="31">
        <f>IF(AQ282="2",BI282,0)</f>
        <v>0</v>
      </c>
      <c r="AH282" s="31">
        <f>IF(AQ282="0",BJ282,0)</f>
        <v>0</v>
      </c>
      <c r="AI282" s="42" t="s">
        <v>85</v>
      </c>
      <c r="AJ282" s="31">
        <f>IF(AN282=0,I282,0)</f>
        <v>0</v>
      </c>
      <c r="AK282" s="31">
        <f>IF(AN282=12,I282,0)</f>
        <v>0</v>
      </c>
      <c r="AL282" s="31">
        <f>IF(AN282=21,I282,0)</f>
        <v>0</v>
      </c>
      <c r="AN282" s="31">
        <v>21</v>
      </c>
      <c r="AO282" s="31">
        <f>H282*0.000487804897665375</f>
        <v>0</v>
      </c>
      <c r="AP282" s="31">
        <f>H282*(1-0.000487804897665375)</f>
        <v>0</v>
      </c>
      <c r="AQ282" s="32" t="s">
        <v>121</v>
      </c>
      <c r="AV282" s="31">
        <f>AW282+AX282</f>
        <v>0</v>
      </c>
      <c r="AW282" s="31">
        <f>G282*AO282</f>
        <v>0</v>
      </c>
      <c r="AX282" s="31">
        <f>G282*AP282</f>
        <v>0</v>
      </c>
      <c r="AY282" s="32" t="s">
        <v>576</v>
      </c>
      <c r="AZ282" s="32" t="s">
        <v>577</v>
      </c>
      <c r="BA282" s="42" t="s">
        <v>128</v>
      </c>
      <c r="BC282" s="31">
        <f>AW282+AX282</f>
        <v>0</v>
      </c>
      <c r="BD282" s="31">
        <f>H282/(100-BE282)*100</f>
        <v>0</v>
      </c>
      <c r="BE282" s="31">
        <v>0</v>
      </c>
      <c r="BF282" s="31">
        <f>K282</f>
        <v>11.147672179999999</v>
      </c>
      <c r="BH282" s="31">
        <f>G282*AO282</f>
        <v>0</v>
      </c>
      <c r="BI282" s="31">
        <f>G282*AP282</f>
        <v>0</v>
      </c>
      <c r="BJ282" s="31">
        <f>G282*H282</f>
        <v>0</v>
      </c>
      <c r="BK282" s="31"/>
      <c r="BL282" s="31">
        <v>94</v>
      </c>
      <c r="BW282" s="31">
        <v>21</v>
      </c>
    </row>
    <row r="283" spans="1:12" ht="15" customHeight="1">
      <c r="A283" s="60"/>
      <c r="D283" s="61" t="s">
        <v>578</v>
      </c>
      <c r="E283" s="62"/>
      <c r="G283" s="63">
        <v>606.5110000000001</v>
      </c>
      <c r="L283" s="64"/>
    </row>
    <row r="284" spans="1:75" ht="13.5" customHeight="1">
      <c r="A284" s="30" t="s">
        <v>579</v>
      </c>
      <c r="B284" s="3" t="s">
        <v>85</v>
      </c>
      <c r="C284" s="3" t="s">
        <v>580</v>
      </c>
      <c r="D284" s="78" t="s">
        <v>581</v>
      </c>
      <c r="E284" s="78"/>
      <c r="F284" s="3" t="s">
        <v>124</v>
      </c>
      <c r="G284" s="31">
        <f>'Stavební rozpočet'!G263</f>
        <v>55845.99</v>
      </c>
      <c r="H284" s="170">
        <v>0</v>
      </c>
      <c r="I284" s="31">
        <f>G284*H284</f>
        <v>0</v>
      </c>
      <c r="J284" s="31">
        <f>'Stavební rozpočet'!J263</f>
        <v>0</v>
      </c>
      <c r="K284" s="31">
        <f>G284*J284</f>
        <v>0</v>
      </c>
      <c r="L284" s="59" t="s">
        <v>125</v>
      </c>
      <c r="Z284" s="31">
        <f>IF(AQ284="5",BJ284,0)</f>
        <v>0</v>
      </c>
      <c r="AB284" s="31">
        <f>IF(AQ284="1",BH284,0)</f>
        <v>0</v>
      </c>
      <c r="AC284" s="31">
        <f>IF(AQ284="1",BI284,0)</f>
        <v>0</v>
      </c>
      <c r="AD284" s="31">
        <f>IF(AQ284="7",BH284,0)</f>
        <v>0</v>
      </c>
      <c r="AE284" s="31">
        <f>IF(AQ284="7",BI284,0)</f>
        <v>0</v>
      </c>
      <c r="AF284" s="31">
        <f>IF(AQ284="2",BH284,0)</f>
        <v>0</v>
      </c>
      <c r="AG284" s="31">
        <f>IF(AQ284="2",BI284,0)</f>
        <v>0</v>
      </c>
      <c r="AH284" s="31">
        <f>IF(AQ284="0",BJ284,0)</f>
        <v>0</v>
      </c>
      <c r="AI284" s="42" t="s">
        <v>85</v>
      </c>
      <c r="AJ284" s="31">
        <f>IF(AN284=0,I284,0)</f>
        <v>0</v>
      </c>
      <c r="AK284" s="31">
        <f>IF(AN284=12,I284,0)</f>
        <v>0</v>
      </c>
      <c r="AL284" s="31">
        <f>IF(AN284=21,I284,0)</f>
        <v>0</v>
      </c>
      <c r="AN284" s="31">
        <v>21</v>
      </c>
      <c r="AO284" s="31">
        <f>H284*0</f>
        <v>0</v>
      </c>
      <c r="AP284" s="31">
        <f>H284*(1-0)</f>
        <v>0</v>
      </c>
      <c r="AQ284" s="32" t="s">
        <v>121</v>
      </c>
      <c r="AV284" s="31">
        <f>AW284+AX284</f>
        <v>0</v>
      </c>
      <c r="AW284" s="31">
        <f>G284*AO284</f>
        <v>0</v>
      </c>
      <c r="AX284" s="31">
        <f>G284*AP284</f>
        <v>0</v>
      </c>
      <c r="AY284" s="32" t="s">
        <v>576</v>
      </c>
      <c r="AZ284" s="32" t="s">
        <v>577</v>
      </c>
      <c r="BA284" s="42" t="s">
        <v>128</v>
      </c>
      <c r="BC284" s="31">
        <f>AW284+AX284</f>
        <v>0</v>
      </c>
      <c r="BD284" s="31">
        <f>H284/(100-BE284)*100</f>
        <v>0</v>
      </c>
      <c r="BE284" s="31">
        <v>0</v>
      </c>
      <c r="BF284" s="31">
        <f>K284</f>
        <v>0</v>
      </c>
      <c r="BH284" s="31">
        <f>G284*AO284</f>
        <v>0</v>
      </c>
      <c r="BI284" s="31">
        <f>G284*AP284</f>
        <v>0</v>
      </c>
      <c r="BJ284" s="31">
        <f>G284*H284</f>
        <v>0</v>
      </c>
      <c r="BK284" s="31"/>
      <c r="BL284" s="31">
        <v>94</v>
      </c>
      <c r="BW284" s="31">
        <v>21</v>
      </c>
    </row>
    <row r="285" spans="1:12" ht="15" customHeight="1">
      <c r="A285" s="60"/>
      <c r="D285" s="61" t="s">
        <v>582</v>
      </c>
      <c r="E285" s="62"/>
      <c r="G285" s="63">
        <v>55845.990000000005</v>
      </c>
      <c r="L285" s="64"/>
    </row>
    <row r="286" spans="1:75" ht="13.5" customHeight="1">
      <c r="A286" s="30" t="s">
        <v>583</v>
      </c>
      <c r="B286" s="3" t="s">
        <v>85</v>
      </c>
      <c r="C286" s="3" t="s">
        <v>584</v>
      </c>
      <c r="D286" s="78" t="s">
        <v>585</v>
      </c>
      <c r="E286" s="78"/>
      <c r="F286" s="3" t="s">
        <v>124</v>
      </c>
      <c r="G286" s="31">
        <f>'Stavební rozpočet'!G265</f>
        <v>606.511</v>
      </c>
      <c r="H286" s="170">
        <v>0</v>
      </c>
      <c r="I286" s="31">
        <f>G286*H286</f>
        <v>0</v>
      </c>
      <c r="J286" s="31">
        <f>'Stavební rozpočet'!J265</f>
        <v>0</v>
      </c>
      <c r="K286" s="31">
        <f>G286*J286</f>
        <v>0</v>
      </c>
      <c r="L286" s="59" t="s">
        <v>125</v>
      </c>
      <c r="Z286" s="31">
        <f>IF(AQ286="5",BJ286,0)</f>
        <v>0</v>
      </c>
      <c r="AB286" s="31">
        <f>IF(AQ286="1",BH286,0)</f>
        <v>0</v>
      </c>
      <c r="AC286" s="31">
        <f>IF(AQ286="1",BI286,0)</f>
        <v>0</v>
      </c>
      <c r="AD286" s="31">
        <f>IF(AQ286="7",BH286,0)</f>
        <v>0</v>
      </c>
      <c r="AE286" s="31">
        <f>IF(AQ286="7",BI286,0)</f>
        <v>0</v>
      </c>
      <c r="AF286" s="31">
        <f>IF(AQ286="2",BH286,0)</f>
        <v>0</v>
      </c>
      <c r="AG286" s="31">
        <f>IF(AQ286="2",BI286,0)</f>
        <v>0</v>
      </c>
      <c r="AH286" s="31">
        <f>IF(AQ286="0",BJ286,0)</f>
        <v>0</v>
      </c>
      <c r="AI286" s="42" t="s">
        <v>85</v>
      </c>
      <c r="AJ286" s="31">
        <f>IF(AN286=0,I286,0)</f>
        <v>0</v>
      </c>
      <c r="AK286" s="31">
        <f>IF(AN286=12,I286,0)</f>
        <v>0</v>
      </c>
      <c r="AL286" s="31">
        <f>IF(AN286=21,I286,0)</f>
        <v>0</v>
      </c>
      <c r="AN286" s="31">
        <v>21</v>
      </c>
      <c r="AO286" s="31">
        <f>H286*0</f>
        <v>0</v>
      </c>
      <c r="AP286" s="31">
        <f>H286*(1-0)</f>
        <v>0</v>
      </c>
      <c r="AQ286" s="32" t="s">
        <v>121</v>
      </c>
      <c r="AV286" s="31">
        <f>AW286+AX286</f>
        <v>0</v>
      </c>
      <c r="AW286" s="31">
        <f>G286*AO286</f>
        <v>0</v>
      </c>
      <c r="AX286" s="31">
        <f>G286*AP286</f>
        <v>0</v>
      </c>
      <c r="AY286" s="32" t="s">
        <v>576</v>
      </c>
      <c r="AZ286" s="32" t="s">
        <v>577</v>
      </c>
      <c r="BA286" s="42" t="s">
        <v>128</v>
      </c>
      <c r="BC286" s="31">
        <f>AW286+AX286</f>
        <v>0</v>
      </c>
      <c r="BD286" s="31">
        <f>H286/(100-BE286)*100</f>
        <v>0</v>
      </c>
      <c r="BE286" s="31">
        <v>0</v>
      </c>
      <c r="BF286" s="31">
        <f>K286</f>
        <v>0</v>
      </c>
      <c r="BH286" s="31">
        <f>G286*AO286</f>
        <v>0</v>
      </c>
      <c r="BI286" s="31">
        <f>G286*AP286</f>
        <v>0</v>
      </c>
      <c r="BJ286" s="31">
        <f>G286*H286</f>
        <v>0</v>
      </c>
      <c r="BK286" s="31"/>
      <c r="BL286" s="31">
        <v>94</v>
      </c>
      <c r="BW286" s="31">
        <v>21</v>
      </c>
    </row>
    <row r="287" spans="1:12" ht="15" customHeight="1">
      <c r="A287" s="60"/>
      <c r="D287" s="61" t="s">
        <v>586</v>
      </c>
      <c r="E287" s="62"/>
      <c r="G287" s="63">
        <v>606.5110000000001</v>
      </c>
      <c r="L287" s="64"/>
    </row>
    <row r="288" spans="1:75" ht="13.5" customHeight="1">
      <c r="A288" s="30" t="s">
        <v>571</v>
      </c>
      <c r="B288" s="3" t="s">
        <v>85</v>
      </c>
      <c r="C288" s="3" t="s">
        <v>587</v>
      </c>
      <c r="D288" s="78" t="s">
        <v>588</v>
      </c>
      <c r="E288" s="78"/>
      <c r="F288" s="3" t="s">
        <v>124</v>
      </c>
      <c r="G288" s="31">
        <f>'Stavební rozpočet'!G267</f>
        <v>606.511</v>
      </c>
      <c r="H288" s="170">
        <v>0</v>
      </c>
      <c r="I288" s="31">
        <f>G288*H288</f>
        <v>0</v>
      </c>
      <c r="J288" s="31">
        <f>'Stavební rozpočet'!J267</f>
        <v>0</v>
      </c>
      <c r="K288" s="31">
        <f>G288*J288</f>
        <v>0</v>
      </c>
      <c r="L288" s="59" t="s">
        <v>125</v>
      </c>
      <c r="Z288" s="31">
        <f>IF(AQ288="5",BJ288,0)</f>
        <v>0</v>
      </c>
      <c r="AB288" s="31">
        <f>IF(AQ288="1",BH288,0)</f>
        <v>0</v>
      </c>
      <c r="AC288" s="31">
        <f>IF(AQ288="1",BI288,0)</f>
        <v>0</v>
      </c>
      <c r="AD288" s="31">
        <f>IF(AQ288="7",BH288,0)</f>
        <v>0</v>
      </c>
      <c r="AE288" s="31">
        <f>IF(AQ288="7",BI288,0)</f>
        <v>0</v>
      </c>
      <c r="AF288" s="31">
        <f>IF(AQ288="2",BH288,0)</f>
        <v>0</v>
      </c>
      <c r="AG288" s="31">
        <f>IF(AQ288="2",BI288,0)</f>
        <v>0</v>
      </c>
      <c r="AH288" s="31">
        <f>IF(AQ288="0",BJ288,0)</f>
        <v>0</v>
      </c>
      <c r="AI288" s="42" t="s">
        <v>85</v>
      </c>
      <c r="AJ288" s="31">
        <f>IF(AN288=0,I288,0)</f>
        <v>0</v>
      </c>
      <c r="AK288" s="31">
        <f>IF(AN288=12,I288,0)</f>
        <v>0</v>
      </c>
      <c r="AL288" s="31">
        <f>IF(AN288=21,I288,0)</f>
        <v>0</v>
      </c>
      <c r="AN288" s="31">
        <v>21</v>
      </c>
      <c r="AO288" s="31">
        <f>H288*0</f>
        <v>0</v>
      </c>
      <c r="AP288" s="31">
        <f>H288*(1-0)</f>
        <v>0</v>
      </c>
      <c r="AQ288" s="32" t="s">
        <v>121</v>
      </c>
      <c r="AV288" s="31">
        <f>AW288+AX288</f>
        <v>0</v>
      </c>
      <c r="AW288" s="31">
        <f>G288*AO288</f>
        <v>0</v>
      </c>
      <c r="AX288" s="31">
        <f>G288*AP288</f>
        <v>0</v>
      </c>
      <c r="AY288" s="32" t="s">
        <v>576</v>
      </c>
      <c r="AZ288" s="32" t="s">
        <v>577</v>
      </c>
      <c r="BA288" s="42" t="s">
        <v>128</v>
      </c>
      <c r="BC288" s="31">
        <f>AW288+AX288</f>
        <v>0</v>
      </c>
      <c r="BD288" s="31">
        <f>H288/(100-BE288)*100</f>
        <v>0</v>
      </c>
      <c r="BE288" s="31">
        <v>0</v>
      </c>
      <c r="BF288" s="31">
        <f>K288</f>
        <v>0</v>
      </c>
      <c r="BH288" s="31">
        <f>G288*AO288</f>
        <v>0</v>
      </c>
      <c r="BI288" s="31">
        <f>G288*AP288</f>
        <v>0</v>
      </c>
      <c r="BJ288" s="31">
        <f>G288*H288</f>
        <v>0</v>
      </c>
      <c r="BK288" s="31"/>
      <c r="BL288" s="31">
        <v>94</v>
      </c>
      <c r="BW288" s="31">
        <v>21</v>
      </c>
    </row>
    <row r="289" spans="1:12" ht="15" customHeight="1">
      <c r="A289" s="60"/>
      <c r="D289" s="61" t="s">
        <v>586</v>
      </c>
      <c r="E289" s="62"/>
      <c r="G289" s="63">
        <v>606.5110000000001</v>
      </c>
      <c r="L289" s="64"/>
    </row>
    <row r="290" spans="1:75" ht="13.5" customHeight="1">
      <c r="A290" s="30" t="s">
        <v>589</v>
      </c>
      <c r="B290" s="3" t="s">
        <v>85</v>
      </c>
      <c r="C290" s="3" t="s">
        <v>590</v>
      </c>
      <c r="D290" s="78" t="s">
        <v>591</v>
      </c>
      <c r="E290" s="78"/>
      <c r="F290" s="3" t="s">
        <v>124</v>
      </c>
      <c r="G290" s="31">
        <f>'Stavební rozpočet'!G269</f>
        <v>1819.53</v>
      </c>
      <c r="H290" s="170">
        <v>0</v>
      </c>
      <c r="I290" s="31">
        <f>G290*H290</f>
        <v>0</v>
      </c>
      <c r="J290" s="31">
        <f>'Stavební rozpočet'!J269</f>
        <v>5E-05</v>
      </c>
      <c r="K290" s="31">
        <f>G290*J290</f>
        <v>0.0909765</v>
      </c>
      <c r="L290" s="59" t="s">
        <v>125</v>
      </c>
      <c r="Z290" s="31">
        <f>IF(AQ290="5",BJ290,0)</f>
        <v>0</v>
      </c>
      <c r="AB290" s="31">
        <f>IF(AQ290="1",BH290,0)</f>
        <v>0</v>
      </c>
      <c r="AC290" s="31">
        <f>IF(AQ290="1",BI290,0)</f>
        <v>0</v>
      </c>
      <c r="AD290" s="31">
        <f>IF(AQ290="7",BH290,0)</f>
        <v>0</v>
      </c>
      <c r="AE290" s="31">
        <f>IF(AQ290="7",BI290,0)</f>
        <v>0</v>
      </c>
      <c r="AF290" s="31">
        <f>IF(AQ290="2",BH290,0)</f>
        <v>0</v>
      </c>
      <c r="AG290" s="31">
        <f>IF(AQ290="2",BI290,0)</f>
        <v>0</v>
      </c>
      <c r="AH290" s="31">
        <f>IF(AQ290="0",BJ290,0)</f>
        <v>0</v>
      </c>
      <c r="AI290" s="42" t="s">
        <v>85</v>
      </c>
      <c r="AJ290" s="31">
        <f>IF(AN290=0,I290,0)</f>
        <v>0</v>
      </c>
      <c r="AK290" s="31">
        <f>IF(AN290=12,I290,0)</f>
        <v>0</v>
      </c>
      <c r="AL290" s="31">
        <f>IF(AN290=21,I290,0)</f>
        <v>0</v>
      </c>
      <c r="AN290" s="31">
        <v>21</v>
      </c>
      <c r="AO290" s="31">
        <f>H290*1.00000093327112</f>
        <v>0</v>
      </c>
      <c r="AP290" s="31">
        <f>H290*(1-1.00000093327112)</f>
        <v>0</v>
      </c>
      <c r="AQ290" s="32" t="s">
        <v>121</v>
      </c>
      <c r="AV290" s="31">
        <f>AW290+AX290</f>
        <v>0</v>
      </c>
      <c r="AW290" s="31">
        <f>G290*AO290</f>
        <v>0</v>
      </c>
      <c r="AX290" s="31">
        <f>G290*AP290</f>
        <v>0</v>
      </c>
      <c r="AY290" s="32" t="s">
        <v>576</v>
      </c>
      <c r="AZ290" s="32" t="s">
        <v>577</v>
      </c>
      <c r="BA290" s="42" t="s">
        <v>128</v>
      </c>
      <c r="BC290" s="31">
        <f>AW290+AX290</f>
        <v>0</v>
      </c>
      <c r="BD290" s="31">
        <f>H290/(100-BE290)*100</f>
        <v>0</v>
      </c>
      <c r="BE290" s="31">
        <v>0</v>
      </c>
      <c r="BF290" s="31">
        <f>K290</f>
        <v>0.0909765</v>
      </c>
      <c r="BH290" s="31">
        <f>G290*AO290</f>
        <v>0</v>
      </c>
      <c r="BI290" s="31">
        <f>G290*AP290</f>
        <v>0</v>
      </c>
      <c r="BJ290" s="31">
        <f>G290*H290</f>
        <v>0</v>
      </c>
      <c r="BK290" s="31"/>
      <c r="BL290" s="31">
        <v>94</v>
      </c>
      <c r="BW290" s="31">
        <v>21</v>
      </c>
    </row>
    <row r="291" spans="1:12" ht="15" customHeight="1">
      <c r="A291" s="60"/>
      <c r="D291" s="61" t="s">
        <v>592</v>
      </c>
      <c r="E291" s="62"/>
      <c r="G291" s="63">
        <v>1819.5300000000002</v>
      </c>
      <c r="L291" s="64"/>
    </row>
    <row r="292" spans="1:75" ht="13.5" customHeight="1">
      <c r="A292" s="30" t="s">
        <v>593</v>
      </c>
      <c r="B292" s="3" t="s">
        <v>85</v>
      </c>
      <c r="C292" s="3" t="s">
        <v>594</v>
      </c>
      <c r="D292" s="78" t="s">
        <v>595</v>
      </c>
      <c r="E292" s="78"/>
      <c r="F292" s="3" t="s">
        <v>124</v>
      </c>
      <c r="G292" s="31">
        <f>'Stavební rozpočet'!G271</f>
        <v>606.51</v>
      </c>
      <c r="H292" s="170">
        <v>0</v>
      </c>
      <c r="I292" s="31">
        <f>G292*H292</f>
        <v>0</v>
      </c>
      <c r="J292" s="31">
        <f>'Stavební rozpočet'!J271</f>
        <v>0</v>
      </c>
      <c r="K292" s="31">
        <f>G292*J292</f>
        <v>0</v>
      </c>
      <c r="L292" s="59" t="s">
        <v>125</v>
      </c>
      <c r="Z292" s="31">
        <f>IF(AQ292="5",BJ292,0)</f>
        <v>0</v>
      </c>
      <c r="AB292" s="31">
        <f>IF(AQ292="1",BH292,0)</f>
        <v>0</v>
      </c>
      <c r="AC292" s="31">
        <f>IF(AQ292="1",BI292,0)</f>
        <v>0</v>
      </c>
      <c r="AD292" s="31">
        <f>IF(AQ292="7",BH292,0)</f>
        <v>0</v>
      </c>
      <c r="AE292" s="31">
        <f>IF(AQ292="7",BI292,0)</f>
        <v>0</v>
      </c>
      <c r="AF292" s="31">
        <f>IF(AQ292="2",BH292,0)</f>
        <v>0</v>
      </c>
      <c r="AG292" s="31">
        <f>IF(AQ292="2",BI292,0)</f>
        <v>0</v>
      </c>
      <c r="AH292" s="31">
        <f>IF(AQ292="0",BJ292,0)</f>
        <v>0</v>
      </c>
      <c r="AI292" s="42" t="s">
        <v>85</v>
      </c>
      <c r="AJ292" s="31">
        <f>IF(AN292=0,I292,0)</f>
        <v>0</v>
      </c>
      <c r="AK292" s="31">
        <f>IF(AN292=12,I292,0)</f>
        <v>0</v>
      </c>
      <c r="AL292" s="31">
        <f>IF(AN292=21,I292,0)</f>
        <v>0</v>
      </c>
      <c r="AN292" s="31">
        <v>21</v>
      </c>
      <c r="AO292" s="31">
        <f>H292*0</f>
        <v>0</v>
      </c>
      <c r="AP292" s="31">
        <f>H292*(1-0)</f>
        <v>0</v>
      </c>
      <c r="AQ292" s="32" t="s">
        <v>121</v>
      </c>
      <c r="AV292" s="31">
        <f>AW292+AX292</f>
        <v>0</v>
      </c>
      <c r="AW292" s="31">
        <f>G292*AO292</f>
        <v>0</v>
      </c>
      <c r="AX292" s="31">
        <f>G292*AP292</f>
        <v>0</v>
      </c>
      <c r="AY292" s="32" t="s">
        <v>576</v>
      </c>
      <c r="AZ292" s="32" t="s">
        <v>577</v>
      </c>
      <c r="BA292" s="42" t="s">
        <v>128</v>
      </c>
      <c r="BC292" s="31">
        <f>AW292+AX292</f>
        <v>0</v>
      </c>
      <c r="BD292" s="31">
        <f>H292/(100-BE292)*100</f>
        <v>0</v>
      </c>
      <c r="BE292" s="31">
        <v>0</v>
      </c>
      <c r="BF292" s="31">
        <f>K292</f>
        <v>0</v>
      </c>
      <c r="BH292" s="31">
        <f>G292*AO292</f>
        <v>0</v>
      </c>
      <c r="BI292" s="31">
        <f>G292*AP292</f>
        <v>0</v>
      </c>
      <c r="BJ292" s="31">
        <f>G292*H292</f>
        <v>0</v>
      </c>
      <c r="BK292" s="31"/>
      <c r="BL292" s="31">
        <v>94</v>
      </c>
      <c r="BW292" s="31">
        <v>21</v>
      </c>
    </row>
    <row r="293" spans="1:12" ht="15" customHeight="1">
      <c r="A293" s="60"/>
      <c r="D293" s="61" t="s">
        <v>596</v>
      </c>
      <c r="E293" s="62"/>
      <c r="G293" s="63">
        <v>606.5100000000001</v>
      </c>
      <c r="L293" s="64"/>
    </row>
    <row r="294" spans="1:75" ht="13.5" customHeight="1">
      <c r="A294" s="30" t="s">
        <v>597</v>
      </c>
      <c r="B294" s="3" t="s">
        <v>85</v>
      </c>
      <c r="C294" s="3" t="s">
        <v>598</v>
      </c>
      <c r="D294" s="78" t="s">
        <v>599</v>
      </c>
      <c r="E294" s="78"/>
      <c r="F294" s="3" t="s">
        <v>124</v>
      </c>
      <c r="G294" s="31">
        <f>'Stavební rozpočet'!G273</f>
        <v>42</v>
      </c>
      <c r="H294" s="170">
        <v>0</v>
      </c>
      <c r="I294" s="31">
        <f>G294*H294</f>
        <v>0</v>
      </c>
      <c r="J294" s="31">
        <f>'Stavební rozpočet'!J273</f>
        <v>0.01838</v>
      </c>
      <c r="K294" s="31">
        <f>G294*J294</f>
        <v>0.77196</v>
      </c>
      <c r="L294" s="59" t="s">
        <v>125</v>
      </c>
      <c r="Z294" s="31">
        <f>IF(AQ294="5",BJ294,0)</f>
        <v>0</v>
      </c>
      <c r="AB294" s="31">
        <f>IF(AQ294="1",BH294,0)</f>
        <v>0</v>
      </c>
      <c r="AC294" s="31">
        <f>IF(AQ294="1",BI294,0)</f>
        <v>0</v>
      </c>
      <c r="AD294" s="31">
        <f>IF(AQ294="7",BH294,0)</f>
        <v>0</v>
      </c>
      <c r="AE294" s="31">
        <f>IF(AQ294="7",BI294,0)</f>
        <v>0</v>
      </c>
      <c r="AF294" s="31">
        <f>IF(AQ294="2",BH294,0)</f>
        <v>0</v>
      </c>
      <c r="AG294" s="31">
        <f>IF(AQ294="2",BI294,0)</f>
        <v>0</v>
      </c>
      <c r="AH294" s="31">
        <f>IF(AQ294="0",BJ294,0)</f>
        <v>0</v>
      </c>
      <c r="AI294" s="42" t="s">
        <v>85</v>
      </c>
      <c r="AJ294" s="31">
        <f>IF(AN294=0,I294,0)</f>
        <v>0</v>
      </c>
      <c r="AK294" s="31">
        <f>IF(AN294=12,I294,0)</f>
        <v>0</v>
      </c>
      <c r="AL294" s="31">
        <f>IF(AN294=21,I294,0)</f>
        <v>0</v>
      </c>
      <c r="AN294" s="31">
        <v>21</v>
      </c>
      <c r="AO294" s="31">
        <f>H294*0.000532623169107856</f>
        <v>0</v>
      </c>
      <c r="AP294" s="31">
        <f>H294*(1-0.000532623169107856)</f>
        <v>0</v>
      </c>
      <c r="AQ294" s="32" t="s">
        <v>121</v>
      </c>
      <c r="AV294" s="31">
        <f>AW294+AX294</f>
        <v>0</v>
      </c>
      <c r="AW294" s="31">
        <f>G294*AO294</f>
        <v>0</v>
      </c>
      <c r="AX294" s="31">
        <f>G294*AP294</f>
        <v>0</v>
      </c>
      <c r="AY294" s="32" t="s">
        <v>576</v>
      </c>
      <c r="AZ294" s="32" t="s">
        <v>577</v>
      </c>
      <c r="BA294" s="42" t="s">
        <v>128</v>
      </c>
      <c r="BC294" s="31">
        <f>AW294+AX294</f>
        <v>0</v>
      </c>
      <c r="BD294" s="31">
        <f>H294/(100-BE294)*100</f>
        <v>0</v>
      </c>
      <c r="BE294" s="31">
        <v>0</v>
      </c>
      <c r="BF294" s="31">
        <f>K294</f>
        <v>0.77196</v>
      </c>
      <c r="BH294" s="31">
        <f>G294*AO294</f>
        <v>0</v>
      </c>
      <c r="BI294" s="31">
        <f>G294*AP294</f>
        <v>0</v>
      </c>
      <c r="BJ294" s="31">
        <f>G294*H294</f>
        <v>0</v>
      </c>
      <c r="BK294" s="31"/>
      <c r="BL294" s="31">
        <v>94</v>
      </c>
      <c r="BW294" s="31">
        <v>21</v>
      </c>
    </row>
    <row r="295" spans="1:12" ht="15" customHeight="1">
      <c r="A295" s="60"/>
      <c r="D295" s="61" t="s">
        <v>600</v>
      </c>
      <c r="E295" s="62"/>
      <c r="G295" s="63">
        <v>42</v>
      </c>
      <c r="L295" s="64"/>
    </row>
    <row r="296" spans="1:75" ht="13.5" customHeight="1">
      <c r="A296" s="30" t="s">
        <v>601</v>
      </c>
      <c r="B296" s="3" t="s">
        <v>85</v>
      </c>
      <c r="C296" s="3" t="s">
        <v>602</v>
      </c>
      <c r="D296" s="78" t="s">
        <v>603</v>
      </c>
      <c r="E296" s="78"/>
      <c r="F296" s="3" t="s">
        <v>124</v>
      </c>
      <c r="G296" s="31">
        <f>'Stavební rozpočet'!G275</f>
        <v>42</v>
      </c>
      <c r="H296" s="170">
        <v>0</v>
      </c>
      <c r="I296" s="31">
        <f>G296*H296</f>
        <v>0</v>
      </c>
      <c r="J296" s="31">
        <f>'Stavební rozpočet'!J275</f>
        <v>0</v>
      </c>
      <c r="K296" s="31">
        <f>G296*J296</f>
        <v>0</v>
      </c>
      <c r="L296" s="59" t="s">
        <v>125</v>
      </c>
      <c r="Z296" s="31">
        <f>IF(AQ296="5",BJ296,0)</f>
        <v>0</v>
      </c>
      <c r="AB296" s="31">
        <f>IF(AQ296="1",BH296,0)</f>
        <v>0</v>
      </c>
      <c r="AC296" s="31">
        <f>IF(AQ296="1",BI296,0)</f>
        <v>0</v>
      </c>
      <c r="AD296" s="31">
        <f>IF(AQ296="7",BH296,0)</f>
        <v>0</v>
      </c>
      <c r="AE296" s="31">
        <f>IF(AQ296="7",BI296,0)</f>
        <v>0</v>
      </c>
      <c r="AF296" s="31">
        <f>IF(AQ296="2",BH296,0)</f>
        <v>0</v>
      </c>
      <c r="AG296" s="31">
        <f>IF(AQ296="2",BI296,0)</f>
        <v>0</v>
      </c>
      <c r="AH296" s="31">
        <f>IF(AQ296="0",BJ296,0)</f>
        <v>0</v>
      </c>
      <c r="AI296" s="42" t="s">
        <v>85</v>
      </c>
      <c r="AJ296" s="31">
        <f>IF(AN296=0,I296,0)</f>
        <v>0</v>
      </c>
      <c r="AK296" s="31">
        <f>IF(AN296=12,I296,0)</f>
        <v>0</v>
      </c>
      <c r="AL296" s="31">
        <f>IF(AN296=21,I296,0)</f>
        <v>0</v>
      </c>
      <c r="AN296" s="31">
        <v>21</v>
      </c>
      <c r="AO296" s="31">
        <f>H296*0</f>
        <v>0</v>
      </c>
      <c r="AP296" s="31">
        <f>H296*(1-0)</f>
        <v>0</v>
      </c>
      <c r="AQ296" s="32" t="s">
        <v>121</v>
      </c>
      <c r="AV296" s="31">
        <f>AW296+AX296</f>
        <v>0</v>
      </c>
      <c r="AW296" s="31">
        <f>G296*AO296</f>
        <v>0</v>
      </c>
      <c r="AX296" s="31">
        <f>G296*AP296</f>
        <v>0</v>
      </c>
      <c r="AY296" s="32" t="s">
        <v>576</v>
      </c>
      <c r="AZ296" s="32" t="s">
        <v>577</v>
      </c>
      <c r="BA296" s="42" t="s">
        <v>128</v>
      </c>
      <c r="BC296" s="31">
        <f>AW296+AX296</f>
        <v>0</v>
      </c>
      <c r="BD296" s="31">
        <f>H296/(100-BE296)*100</f>
        <v>0</v>
      </c>
      <c r="BE296" s="31">
        <v>0</v>
      </c>
      <c r="BF296" s="31">
        <f>K296</f>
        <v>0</v>
      </c>
      <c r="BH296" s="31">
        <f>G296*AO296</f>
        <v>0</v>
      </c>
      <c r="BI296" s="31">
        <f>G296*AP296</f>
        <v>0</v>
      </c>
      <c r="BJ296" s="31">
        <f>G296*H296</f>
        <v>0</v>
      </c>
      <c r="BK296" s="31"/>
      <c r="BL296" s="31">
        <v>94</v>
      </c>
      <c r="BW296" s="31">
        <v>21</v>
      </c>
    </row>
    <row r="297" spans="1:12" ht="15" customHeight="1">
      <c r="A297" s="60"/>
      <c r="D297" s="61" t="s">
        <v>342</v>
      </c>
      <c r="E297" s="62"/>
      <c r="G297" s="63">
        <v>42</v>
      </c>
      <c r="L297" s="64"/>
    </row>
    <row r="298" spans="1:47" ht="15" customHeight="1">
      <c r="A298" s="55"/>
      <c r="B298" s="56" t="s">
        <v>85</v>
      </c>
      <c r="C298" s="56" t="s">
        <v>604</v>
      </c>
      <c r="D298" s="122" t="s">
        <v>605</v>
      </c>
      <c r="E298" s="122"/>
      <c r="F298" s="57" t="s">
        <v>79</v>
      </c>
      <c r="G298" s="57" t="s">
        <v>79</v>
      </c>
      <c r="H298" s="57" t="s">
        <v>79</v>
      </c>
      <c r="I298" s="36">
        <f>SUM(I299:I299)</f>
        <v>0</v>
      </c>
      <c r="J298" s="42"/>
      <c r="K298" s="36">
        <f>SUM(K299:K299)</f>
        <v>0</v>
      </c>
      <c r="L298" s="58"/>
      <c r="AI298" s="42" t="s">
        <v>85</v>
      </c>
      <c r="AS298" s="36">
        <f>SUM(AJ299:AJ299)</f>
        <v>0</v>
      </c>
      <c r="AT298" s="36">
        <f>SUM(AK299:AK299)</f>
        <v>0</v>
      </c>
      <c r="AU298" s="36">
        <f>SUM(AL299:AL299)</f>
        <v>0</v>
      </c>
    </row>
    <row r="299" spans="1:75" ht="13.5" customHeight="1">
      <c r="A299" s="30" t="s">
        <v>606</v>
      </c>
      <c r="B299" s="3" t="s">
        <v>85</v>
      </c>
      <c r="C299" s="3" t="s">
        <v>607</v>
      </c>
      <c r="D299" s="78" t="s">
        <v>608</v>
      </c>
      <c r="E299" s="78"/>
      <c r="F299" s="3" t="s">
        <v>609</v>
      </c>
      <c r="G299" s="31">
        <f>'Stavební rozpočet'!G278</f>
        <v>13.95838</v>
      </c>
      <c r="H299" s="170">
        <v>0</v>
      </c>
      <c r="I299" s="31">
        <f>G299*H299</f>
        <v>0</v>
      </c>
      <c r="J299" s="31">
        <f>'Stavební rozpočet'!J278</f>
        <v>0</v>
      </c>
      <c r="K299" s="31">
        <f>G299*J299</f>
        <v>0</v>
      </c>
      <c r="L299" s="59" t="s">
        <v>125</v>
      </c>
      <c r="Z299" s="31">
        <f>IF(AQ299="5",BJ299,0)</f>
        <v>0</v>
      </c>
      <c r="AB299" s="31">
        <f>IF(AQ299="1",BH299,0)</f>
        <v>0</v>
      </c>
      <c r="AC299" s="31">
        <f>IF(AQ299="1",BI299,0)</f>
        <v>0</v>
      </c>
      <c r="AD299" s="31">
        <f>IF(AQ299="7",BH299,0)</f>
        <v>0</v>
      </c>
      <c r="AE299" s="31">
        <f>IF(AQ299="7",BI299,0)</f>
        <v>0</v>
      </c>
      <c r="AF299" s="31">
        <f>IF(AQ299="2",BH299,0)</f>
        <v>0</v>
      </c>
      <c r="AG299" s="31">
        <f>IF(AQ299="2",BI299,0)</f>
        <v>0</v>
      </c>
      <c r="AH299" s="31">
        <f>IF(AQ299="0",BJ299,0)</f>
        <v>0</v>
      </c>
      <c r="AI299" s="42" t="s">
        <v>85</v>
      </c>
      <c r="AJ299" s="31">
        <f>IF(AN299=0,I299,0)</f>
        <v>0</v>
      </c>
      <c r="AK299" s="31">
        <f>IF(AN299=12,I299,0)</f>
        <v>0</v>
      </c>
      <c r="AL299" s="31">
        <f>IF(AN299=21,I299,0)</f>
        <v>0</v>
      </c>
      <c r="AN299" s="31">
        <v>21</v>
      </c>
      <c r="AO299" s="31">
        <f>H299*0</f>
        <v>0</v>
      </c>
      <c r="AP299" s="31">
        <f>H299*(1-0)</f>
        <v>0</v>
      </c>
      <c r="AQ299" s="32" t="s">
        <v>146</v>
      </c>
      <c r="AV299" s="31">
        <f>AW299+AX299</f>
        <v>0</v>
      </c>
      <c r="AW299" s="31">
        <f>G299*AO299</f>
        <v>0</v>
      </c>
      <c r="AX299" s="31">
        <f>G299*AP299</f>
        <v>0</v>
      </c>
      <c r="AY299" s="32" t="s">
        <v>610</v>
      </c>
      <c r="AZ299" s="32" t="s">
        <v>577</v>
      </c>
      <c r="BA299" s="42" t="s">
        <v>128</v>
      </c>
      <c r="BC299" s="31">
        <f>AW299+AX299</f>
        <v>0</v>
      </c>
      <c r="BD299" s="31">
        <f>H299/(100-BE299)*100</f>
        <v>0</v>
      </c>
      <c r="BE299" s="31">
        <v>0</v>
      </c>
      <c r="BF299" s="31">
        <f>K299</f>
        <v>0</v>
      </c>
      <c r="BH299" s="31">
        <f>G299*AO299</f>
        <v>0</v>
      </c>
      <c r="BI299" s="31">
        <f>G299*AP299</f>
        <v>0</v>
      </c>
      <c r="BJ299" s="31">
        <f>G299*H299</f>
        <v>0</v>
      </c>
      <c r="BK299" s="31"/>
      <c r="BL299" s="31"/>
      <c r="BW299" s="31">
        <v>21</v>
      </c>
    </row>
    <row r="300" spans="1:47" ht="15" customHeight="1">
      <c r="A300" s="55"/>
      <c r="B300" s="56" t="s">
        <v>85</v>
      </c>
      <c r="C300" s="56" t="s">
        <v>611</v>
      </c>
      <c r="D300" s="122" t="s">
        <v>612</v>
      </c>
      <c r="E300" s="122"/>
      <c r="F300" s="57" t="s">
        <v>79</v>
      </c>
      <c r="G300" s="57" t="s">
        <v>79</v>
      </c>
      <c r="H300" s="57" t="s">
        <v>79</v>
      </c>
      <c r="I300" s="36">
        <f>SUM(I301:I325)</f>
        <v>0</v>
      </c>
      <c r="J300" s="42"/>
      <c r="K300" s="36">
        <f>SUM(K301:K325)</f>
        <v>0</v>
      </c>
      <c r="L300" s="58"/>
      <c r="AI300" s="42" t="s">
        <v>85</v>
      </c>
      <c r="AS300" s="36">
        <f>SUM(AJ301:AJ325)</f>
        <v>0</v>
      </c>
      <c r="AT300" s="36">
        <f>SUM(AK301:AK325)</f>
        <v>0</v>
      </c>
      <c r="AU300" s="36">
        <f>SUM(AL301:AL325)</f>
        <v>0</v>
      </c>
    </row>
    <row r="301" spans="1:75" ht="13.5" customHeight="1">
      <c r="A301" s="30" t="s">
        <v>613</v>
      </c>
      <c r="B301" s="3" t="s">
        <v>85</v>
      </c>
      <c r="C301" s="3" t="s">
        <v>614</v>
      </c>
      <c r="D301" s="78" t="s">
        <v>615</v>
      </c>
      <c r="E301" s="78"/>
      <c r="F301" s="3" t="s">
        <v>609</v>
      </c>
      <c r="G301" s="31">
        <f>'Stavební rozpočet'!G280</f>
        <v>51.42</v>
      </c>
      <c r="H301" s="170">
        <v>0</v>
      </c>
      <c r="I301" s="31">
        <f>G301*H301</f>
        <v>0</v>
      </c>
      <c r="J301" s="31">
        <f>'Stavební rozpočet'!J280</f>
        <v>0</v>
      </c>
      <c r="K301" s="31">
        <f>G301*J301</f>
        <v>0</v>
      </c>
      <c r="L301" s="59" t="s">
        <v>125</v>
      </c>
      <c r="Z301" s="31">
        <f>IF(AQ301="5",BJ301,0)</f>
        <v>0</v>
      </c>
      <c r="AB301" s="31">
        <f>IF(AQ301="1",BH301,0)</f>
        <v>0</v>
      </c>
      <c r="AC301" s="31">
        <f>IF(AQ301="1",BI301,0)</f>
        <v>0</v>
      </c>
      <c r="AD301" s="31">
        <f>IF(AQ301="7",BH301,0)</f>
        <v>0</v>
      </c>
      <c r="AE301" s="31">
        <f>IF(AQ301="7",BI301,0)</f>
        <v>0</v>
      </c>
      <c r="AF301" s="31">
        <f>IF(AQ301="2",BH301,0)</f>
        <v>0</v>
      </c>
      <c r="AG301" s="31">
        <f>IF(AQ301="2",BI301,0)</f>
        <v>0</v>
      </c>
      <c r="AH301" s="31">
        <f>IF(AQ301="0",BJ301,0)</f>
        <v>0</v>
      </c>
      <c r="AI301" s="42" t="s">
        <v>85</v>
      </c>
      <c r="AJ301" s="31">
        <f>IF(AN301=0,I301,0)</f>
        <v>0</v>
      </c>
      <c r="AK301" s="31">
        <f>IF(AN301=12,I301,0)</f>
        <v>0</v>
      </c>
      <c r="AL301" s="31">
        <f>IF(AN301=21,I301,0)</f>
        <v>0</v>
      </c>
      <c r="AN301" s="31">
        <v>21</v>
      </c>
      <c r="AO301" s="31">
        <f>H301*0</f>
        <v>0</v>
      </c>
      <c r="AP301" s="31">
        <f>H301*(1-0)</f>
        <v>0</v>
      </c>
      <c r="AQ301" s="32" t="s">
        <v>146</v>
      </c>
      <c r="AV301" s="31">
        <f>AW301+AX301</f>
        <v>0</v>
      </c>
      <c r="AW301" s="31">
        <f>G301*AO301</f>
        <v>0</v>
      </c>
      <c r="AX301" s="31">
        <f>G301*AP301</f>
        <v>0</v>
      </c>
      <c r="AY301" s="32" t="s">
        <v>616</v>
      </c>
      <c r="AZ301" s="32" t="s">
        <v>577</v>
      </c>
      <c r="BA301" s="42" t="s">
        <v>128</v>
      </c>
      <c r="BC301" s="31">
        <f>AW301+AX301</f>
        <v>0</v>
      </c>
      <c r="BD301" s="31">
        <f>H301/(100-BE301)*100</f>
        <v>0</v>
      </c>
      <c r="BE301" s="31">
        <v>0</v>
      </c>
      <c r="BF301" s="31">
        <f>K301</f>
        <v>0</v>
      </c>
      <c r="BH301" s="31">
        <f>G301*AO301</f>
        <v>0</v>
      </c>
      <c r="BI301" s="31">
        <f>G301*AP301</f>
        <v>0</v>
      </c>
      <c r="BJ301" s="31">
        <f>G301*H301</f>
        <v>0</v>
      </c>
      <c r="BK301" s="31"/>
      <c r="BL301" s="31"/>
      <c r="BW301" s="31">
        <v>21</v>
      </c>
    </row>
    <row r="302" spans="1:12" ht="15" customHeight="1">
      <c r="A302" s="60"/>
      <c r="D302" s="61" t="s">
        <v>617</v>
      </c>
      <c r="E302" s="62"/>
      <c r="G302" s="63">
        <v>9.940000000000001</v>
      </c>
      <c r="L302" s="64"/>
    </row>
    <row r="303" spans="1:12" ht="15" customHeight="1">
      <c r="A303" s="60"/>
      <c r="D303" s="61" t="s">
        <v>618</v>
      </c>
      <c r="E303" s="62"/>
      <c r="G303" s="63">
        <v>1.9600000000000002</v>
      </c>
      <c r="L303" s="64"/>
    </row>
    <row r="304" spans="1:12" ht="15" customHeight="1">
      <c r="A304" s="60"/>
      <c r="D304" s="61" t="s">
        <v>619</v>
      </c>
      <c r="E304" s="62"/>
      <c r="G304" s="63">
        <v>39.02</v>
      </c>
      <c r="L304" s="64"/>
    </row>
    <row r="305" spans="1:12" ht="15" customHeight="1">
      <c r="A305" s="60"/>
      <c r="D305" s="61" t="s">
        <v>620</v>
      </c>
      <c r="E305" s="62"/>
      <c r="G305" s="63">
        <v>0.1</v>
      </c>
      <c r="L305" s="64"/>
    </row>
    <row r="306" spans="1:12" ht="15" customHeight="1">
      <c r="A306" s="60"/>
      <c r="D306" s="61" t="s">
        <v>621</v>
      </c>
      <c r="E306" s="62"/>
      <c r="G306" s="63">
        <v>0.4</v>
      </c>
      <c r="L306" s="64"/>
    </row>
    <row r="307" spans="1:75" ht="13.5" customHeight="1">
      <c r="A307" s="30" t="s">
        <v>622</v>
      </c>
      <c r="B307" s="3" t="s">
        <v>85</v>
      </c>
      <c r="C307" s="3" t="s">
        <v>623</v>
      </c>
      <c r="D307" s="78" t="s">
        <v>624</v>
      </c>
      <c r="E307" s="78"/>
      <c r="F307" s="3" t="s">
        <v>609</v>
      </c>
      <c r="G307" s="31">
        <f>'Stavební rozpočet'!G286</f>
        <v>25.71</v>
      </c>
      <c r="H307" s="170">
        <v>0</v>
      </c>
      <c r="I307" s="31">
        <f>G307*H307</f>
        <v>0</v>
      </c>
      <c r="J307" s="31">
        <f>'Stavební rozpočet'!J286</f>
        <v>0</v>
      </c>
      <c r="K307" s="31">
        <f>G307*J307</f>
        <v>0</v>
      </c>
      <c r="L307" s="59" t="s">
        <v>125</v>
      </c>
      <c r="Z307" s="31">
        <f>IF(AQ307="5",BJ307,0)</f>
        <v>0</v>
      </c>
      <c r="AB307" s="31">
        <f>IF(AQ307="1",BH307,0)</f>
        <v>0</v>
      </c>
      <c r="AC307" s="31">
        <f>IF(AQ307="1",BI307,0)</f>
        <v>0</v>
      </c>
      <c r="AD307" s="31">
        <f>IF(AQ307="7",BH307,0)</f>
        <v>0</v>
      </c>
      <c r="AE307" s="31">
        <f>IF(AQ307="7",BI307,0)</f>
        <v>0</v>
      </c>
      <c r="AF307" s="31">
        <f>IF(AQ307="2",BH307,0)</f>
        <v>0</v>
      </c>
      <c r="AG307" s="31">
        <f>IF(AQ307="2",BI307,0)</f>
        <v>0</v>
      </c>
      <c r="AH307" s="31">
        <f>IF(AQ307="0",BJ307,0)</f>
        <v>0</v>
      </c>
      <c r="AI307" s="42" t="s">
        <v>85</v>
      </c>
      <c r="AJ307" s="31">
        <f>IF(AN307=0,I307,0)</f>
        <v>0</v>
      </c>
      <c r="AK307" s="31">
        <f>IF(AN307=12,I307,0)</f>
        <v>0</v>
      </c>
      <c r="AL307" s="31">
        <f>IF(AN307=21,I307,0)</f>
        <v>0</v>
      </c>
      <c r="AN307" s="31">
        <v>21</v>
      </c>
      <c r="AO307" s="31">
        <f>H307*0</f>
        <v>0</v>
      </c>
      <c r="AP307" s="31">
        <f>H307*(1-0)</f>
        <v>0</v>
      </c>
      <c r="AQ307" s="32" t="s">
        <v>146</v>
      </c>
      <c r="AV307" s="31">
        <f>AW307+AX307</f>
        <v>0</v>
      </c>
      <c r="AW307" s="31">
        <f>G307*AO307</f>
        <v>0</v>
      </c>
      <c r="AX307" s="31">
        <f>G307*AP307</f>
        <v>0</v>
      </c>
      <c r="AY307" s="32" t="s">
        <v>616</v>
      </c>
      <c r="AZ307" s="32" t="s">
        <v>577</v>
      </c>
      <c r="BA307" s="42" t="s">
        <v>128</v>
      </c>
      <c r="BC307" s="31">
        <f>AW307+AX307</f>
        <v>0</v>
      </c>
      <c r="BD307" s="31">
        <f>H307/(100-BE307)*100</f>
        <v>0</v>
      </c>
      <c r="BE307" s="31">
        <v>0</v>
      </c>
      <c r="BF307" s="31">
        <f>K307</f>
        <v>0</v>
      </c>
      <c r="BH307" s="31">
        <f>G307*AO307</f>
        <v>0</v>
      </c>
      <c r="BI307" s="31">
        <f>G307*AP307</f>
        <v>0</v>
      </c>
      <c r="BJ307" s="31">
        <f>G307*H307</f>
        <v>0</v>
      </c>
      <c r="BK307" s="31"/>
      <c r="BL307" s="31"/>
      <c r="BW307" s="31">
        <v>21</v>
      </c>
    </row>
    <row r="308" spans="1:12" ht="15" customHeight="1">
      <c r="A308" s="60"/>
      <c r="D308" s="61" t="s">
        <v>625</v>
      </c>
      <c r="E308" s="62"/>
      <c r="G308" s="63">
        <v>25.71</v>
      </c>
      <c r="L308" s="64"/>
    </row>
    <row r="309" spans="1:75" ht="13.5" customHeight="1">
      <c r="A309" s="30" t="s">
        <v>626</v>
      </c>
      <c r="B309" s="3" t="s">
        <v>85</v>
      </c>
      <c r="C309" s="3" t="s">
        <v>627</v>
      </c>
      <c r="D309" s="78" t="s">
        <v>628</v>
      </c>
      <c r="E309" s="78"/>
      <c r="F309" s="3" t="s">
        <v>609</v>
      </c>
      <c r="G309" s="31">
        <f>'Stavební rozpočet'!G288</f>
        <v>51.42</v>
      </c>
      <c r="H309" s="170">
        <v>0</v>
      </c>
      <c r="I309" s="31">
        <f>G309*H309</f>
        <v>0</v>
      </c>
      <c r="J309" s="31">
        <f>'Stavební rozpočet'!J288</f>
        <v>0</v>
      </c>
      <c r="K309" s="31">
        <f>G309*J309</f>
        <v>0</v>
      </c>
      <c r="L309" s="59" t="s">
        <v>125</v>
      </c>
      <c r="Z309" s="31">
        <f>IF(AQ309="5",BJ309,0)</f>
        <v>0</v>
      </c>
      <c r="AB309" s="31">
        <f>IF(AQ309="1",BH309,0)</f>
        <v>0</v>
      </c>
      <c r="AC309" s="31">
        <f>IF(AQ309="1",BI309,0)</f>
        <v>0</v>
      </c>
      <c r="AD309" s="31">
        <f>IF(AQ309="7",BH309,0)</f>
        <v>0</v>
      </c>
      <c r="AE309" s="31">
        <f>IF(AQ309="7",BI309,0)</f>
        <v>0</v>
      </c>
      <c r="AF309" s="31">
        <f>IF(AQ309="2",BH309,0)</f>
        <v>0</v>
      </c>
      <c r="AG309" s="31">
        <f>IF(AQ309="2",BI309,0)</f>
        <v>0</v>
      </c>
      <c r="AH309" s="31">
        <f>IF(AQ309="0",BJ309,0)</f>
        <v>0</v>
      </c>
      <c r="AI309" s="42" t="s">
        <v>85</v>
      </c>
      <c r="AJ309" s="31">
        <f>IF(AN309=0,I309,0)</f>
        <v>0</v>
      </c>
      <c r="AK309" s="31">
        <f>IF(AN309=12,I309,0)</f>
        <v>0</v>
      </c>
      <c r="AL309" s="31">
        <f>IF(AN309=21,I309,0)</f>
        <v>0</v>
      </c>
      <c r="AN309" s="31">
        <v>21</v>
      </c>
      <c r="AO309" s="31">
        <f>H309*0</f>
        <v>0</v>
      </c>
      <c r="AP309" s="31">
        <f>H309*(1-0)</f>
        <v>0</v>
      </c>
      <c r="AQ309" s="32" t="s">
        <v>146</v>
      </c>
      <c r="AV309" s="31">
        <f>AW309+AX309</f>
        <v>0</v>
      </c>
      <c r="AW309" s="31">
        <f>G309*AO309</f>
        <v>0</v>
      </c>
      <c r="AX309" s="31">
        <f>G309*AP309</f>
        <v>0</v>
      </c>
      <c r="AY309" s="32" t="s">
        <v>616</v>
      </c>
      <c r="AZ309" s="32" t="s">
        <v>577</v>
      </c>
      <c r="BA309" s="42" t="s">
        <v>128</v>
      </c>
      <c r="BC309" s="31">
        <f>AW309+AX309</f>
        <v>0</v>
      </c>
      <c r="BD309" s="31">
        <f>H309/(100-BE309)*100</f>
        <v>0</v>
      </c>
      <c r="BE309" s="31">
        <v>0</v>
      </c>
      <c r="BF309" s="31">
        <f>K309</f>
        <v>0</v>
      </c>
      <c r="BH309" s="31">
        <f>G309*AO309</f>
        <v>0</v>
      </c>
      <c r="BI309" s="31">
        <f>G309*AP309</f>
        <v>0</v>
      </c>
      <c r="BJ309" s="31">
        <f>G309*H309</f>
        <v>0</v>
      </c>
      <c r="BK309" s="31"/>
      <c r="BL309" s="31"/>
      <c r="BW309" s="31">
        <v>21</v>
      </c>
    </row>
    <row r="310" spans="1:12" ht="15" customHeight="1">
      <c r="A310" s="60"/>
      <c r="D310" s="61" t="s">
        <v>629</v>
      </c>
      <c r="E310" s="62"/>
      <c r="G310" s="63">
        <v>51.42</v>
      </c>
      <c r="L310" s="64"/>
    </row>
    <row r="311" spans="1:75" ht="13.5" customHeight="1">
      <c r="A311" s="30" t="s">
        <v>630</v>
      </c>
      <c r="B311" s="3" t="s">
        <v>85</v>
      </c>
      <c r="C311" s="3" t="s">
        <v>631</v>
      </c>
      <c r="D311" s="78" t="s">
        <v>632</v>
      </c>
      <c r="E311" s="78"/>
      <c r="F311" s="3" t="s">
        <v>609</v>
      </c>
      <c r="G311" s="31">
        <f>'Stavební rozpočet'!G290</f>
        <v>668.46</v>
      </c>
      <c r="H311" s="170">
        <v>0</v>
      </c>
      <c r="I311" s="31">
        <f>G311*H311</f>
        <v>0</v>
      </c>
      <c r="J311" s="31">
        <f>'Stavební rozpočet'!J290</f>
        <v>0</v>
      </c>
      <c r="K311" s="31">
        <f>G311*J311</f>
        <v>0</v>
      </c>
      <c r="L311" s="59" t="s">
        <v>125</v>
      </c>
      <c r="Z311" s="31">
        <f>IF(AQ311="5",BJ311,0)</f>
        <v>0</v>
      </c>
      <c r="AB311" s="31">
        <f>IF(AQ311="1",BH311,0)</f>
        <v>0</v>
      </c>
      <c r="AC311" s="31">
        <f>IF(AQ311="1",BI311,0)</f>
        <v>0</v>
      </c>
      <c r="AD311" s="31">
        <f>IF(AQ311="7",BH311,0)</f>
        <v>0</v>
      </c>
      <c r="AE311" s="31">
        <f>IF(AQ311="7",BI311,0)</f>
        <v>0</v>
      </c>
      <c r="AF311" s="31">
        <f>IF(AQ311="2",BH311,0)</f>
        <v>0</v>
      </c>
      <c r="AG311" s="31">
        <f>IF(AQ311="2",BI311,0)</f>
        <v>0</v>
      </c>
      <c r="AH311" s="31">
        <f>IF(AQ311="0",BJ311,0)</f>
        <v>0</v>
      </c>
      <c r="AI311" s="42" t="s">
        <v>85</v>
      </c>
      <c r="AJ311" s="31">
        <f>IF(AN311=0,I311,0)</f>
        <v>0</v>
      </c>
      <c r="AK311" s="31">
        <f>IF(AN311=12,I311,0)</f>
        <v>0</v>
      </c>
      <c r="AL311" s="31">
        <f>IF(AN311=21,I311,0)</f>
        <v>0</v>
      </c>
      <c r="AN311" s="31">
        <v>21</v>
      </c>
      <c r="AO311" s="31">
        <f>H311*0</f>
        <v>0</v>
      </c>
      <c r="AP311" s="31">
        <f>H311*(1-0)</f>
        <v>0</v>
      </c>
      <c r="AQ311" s="32" t="s">
        <v>146</v>
      </c>
      <c r="AV311" s="31">
        <f>AW311+AX311</f>
        <v>0</v>
      </c>
      <c r="AW311" s="31">
        <f>G311*AO311</f>
        <v>0</v>
      </c>
      <c r="AX311" s="31">
        <f>G311*AP311</f>
        <v>0</v>
      </c>
      <c r="AY311" s="32" t="s">
        <v>616</v>
      </c>
      <c r="AZ311" s="32" t="s">
        <v>577</v>
      </c>
      <c r="BA311" s="42" t="s">
        <v>128</v>
      </c>
      <c r="BC311" s="31">
        <f>AW311+AX311</f>
        <v>0</v>
      </c>
      <c r="BD311" s="31">
        <f>H311/(100-BE311)*100</f>
        <v>0</v>
      </c>
      <c r="BE311" s="31">
        <v>0</v>
      </c>
      <c r="BF311" s="31">
        <f>K311</f>
        <v>0</v>
      </c>
      <c r="BH311" s="31">
        <f>G311*AO311</f>
        <v>0</v>
      </c>
      <c r="BI311" s="31">
        <f>G311*AP311</f>
        <v>0</v>
      </c>
      <c r="BJ311" s="31">
        <f>G311*H311</f>
        <v>0</v>
      </c>
      <c r="BK311" s="31"/>
      <c r="BL311" s="31"/>
      <c r="BW311" s="31">
        <v>21</v>
      </c>
    </row>
    <row r="312" spans="1:12" ht="15" customHeight="1">
      <c r="A312" s="60"/>
      <c r="D312" s="61" t="s">
        <v>633</v>
      </c>
      <c r="E312" s="62"/>
      <c r="G312" s="63">
        <v>668.46</v>
      </c>
      <c r="L312" s="64"/>
    </row>
    <row r="313" spans="1:75" ht="13.5" customHeight="1">
      <c r="A313" s="30" t="s">
        <v>634</v>
      </c>
      <c r="B313" s="3" t="s">
        <v>85</v>
      </c>
      <c r="C313" s="3" t="s">
        <v>635</v>
      </c>
      <c r="D313" s="78" t="s">
        <v>636</v>
      </c>
      <c r="E313" s="78"/>
      <c r="F313" s="3" t="s">
        <v>609</v>
      </c>
      <c r="G313" s="31">
        <f>'Stavební rozpočet'!G292</f>
        <v>51.42</v>
      </c>
      <c r="H313" s="170">
        <v>0</v>
      </c>
      <c r="I313" s="31">
        <f>G313*H313</f>
        <v>0</v>
      </c>
      <c r="J313" s="31">
        <f>'Stavební rozpočet'!J292</f>
        <v>0</v>
      </c>
      <c r="K313" s="31">
        <f>G313*J313</f>
        <v>0</v>
      </c>
      <c r="L313" s="59" t="s">
        <v>125</v>
      </c>
      <c r="Z313" s="31">
        <f>IF(AQ313="5",BJ313,0)</f>
        <v>0</v>
      </c>
      <c r="AB313" s="31">
        <f>IF(AQ313="1",BH313,0)</f>
        <v>0</v>
      </c>
      <c r="AC313" s="31">
        <f>IF(AQ313="1",BI313,0)</f>
        <v>0</v>
      </c>
      <c r="AD313" s="31">
        <f>IF(AQ313="7",BH313,0)</f>
        <v>0</v>
      </c>
      <c r="AE313" s="31">
        <f>IF(AQ313="7",BI313,0)</f>
        <v>0</v>
      </c>
      <c r="AF313" s="31">
        <f>IF(AQ313="2",BH313,0)</f>
        <v>0</v>
      </c>
      <c r="AG313" s="31">
        <f>IF(AQ313="2",BI313,0)</f>
        <v>0</v>
      </c>
      <c r="AH313" s="31">
        <f>IF(AQ313="0",BJ313,0)</f>
        <v>0</v>
      </c>
      <c r="AI313" s="42" t="s">
        <v>85</v>
      </c>
      <c r="AJ313" s="31">
        <f>IF(AN313=0,I313,0)</f>
        <v>0</v>
      </c>
      <c r="AK313" s="31">
        <f>IF(AN313=12,I313,0)</f>
        <v>0</v>
      </c>
      <c r="AL313" s="31">
        <f>IF(AN313=21,I313,0)</f>
        <v>0</v>
      </c>
      <c r="AN313" s="31">
        <v>21</v>
      </c>
      <c r="AO313" s="31">
        <f>H313*0</f>
        <v>0</v>
      </c>
      <c r="AP313" s="31">
        <f>H313*(1-0)</f>
        <v>0</v>
      </c>
      <c r="AQ313" s="32" t="s">
        <v>146</v>
      </c>
      <c r="AV313" s="31">
        <f>AW313+AX313</f>
        <v>0</v>
      </c>
      <c r="AW313" s="31">
        <f>G313*AO313</f>
        <v>0</v>
      </c>
      <c r="AX313" s="31">
        <f>G313*AP313</f>
        <v>0</v>
      </c>
      <c r="AY313" s="32" t="s">
        <v>616</v>
      </c>
      <c r="AZ313" s="32" t="s">
        <v>577</v>
      </c>
      <c r="BA313" s="42" t="s">
        <v>128</v>
      </c>
      <c r="BC313" s="31">
        <f>AW313+AX313</f>
        <v>0</v>
      </c>
      <c r="BD313" s="31">
        <f>H313/(100-BE313)*100</f>
        <v>0</v>
      </c>
      <c r="BE313" s="31">
        <v>0</v>
      </c>
      <c r="BF313" s="31">
        <f>K313</f>
        <v>0</v>
      </c>
      <c r="BH313" s="31">
        <f>G313*AO313</f>
        <v>0</v>
      </c>
      <c r="BI313" s="31">
        <f>G313*AP313</f>
        <v>0</v>
      </c>
      <c r="BJ313" s="31">
        <f>G313*H313</f>
        <v>0</v>
      </c>
      <c r="BK313" s="31"/>
      <c r="BL313" s="31"/>
      <c r="BW313" s="31">
        <v>21</v>
      </c>
    </row>
    <row r="314" spans="1:12" ht="15" customHeight="1">
      <c r="A314" s="60"/>
      <c r="D314" s="61" t="s">
        <v>629</v>
      </c>
      <c r="E314" s="62"/>
      <c r="G314" s="63">
        <v>51.42</v>
      </c>
      <c r="L314" s="64"/>
    </row>
    <row r="315" spans="1:75" ht="13.5" customHeight="1">
      <c r="A315" s="30" t="s">
        <v>637</v>
      </c>
      <c r="B315" s="3" t="s">
        <v>85</v>
      </c>
      <c r="C315" s="3" t="s">
        <v>638</v>
      </c>
      <c r="D315" s="78" t="s">
        <v>639</v>
      </c>
      <c r="E315" s="78"/>
      <c r="F315" s="3" t="s">
        <v>609</v>
      </c>
      <c r="G315" s="31">
        <f>'Stavební rozpočet'!G294</f>
        <v>102.84</v>
      </c>
      <c r="H315" s="170">
        <v>0</v>
      </c>
      <c r="I315" s="31">
        <f>G315*H315</f>
        <v>0</v>
      </c>
      <c r="J315" s="31">
        <f>'Stavební rozpočet'!J294</f>
        <v>0</v>
      </c>
      <c r="K315" s="31">
        <f>G315*J315</f>
        <v>0</v>
      </c>
      <c r="L315" s="59" t="s">
        <v>125</v>
      </c>
      <c r="Z315" s="31">
        <f>IF(AQ315="5",BJ315,0)</f>
        <v>0</v>
      </c>
      <c r="AB315" s="31">
        <f>IF(AQ315="1",BH315,0)</f>
        <v>0</v>
      </c>
      <c r="AC315" s="31">
        <f>IF(AQ315="1",BI315,0)</f>
        <v>0</v>
      </c>
      <c r="AD315" s="31">
        <f>IF(AQ315="7",BH315,0)</f>
        <v>0</v>
      </c>
      <c r="AE315" s="31">
        <f>IF(AQ315="7",BI315,0)</f>
        <v>0</v>
      </c>
      <c r="AF315" s="31">
        <f>IF(AQ315="2",BH315,0)</f>
        <v>0</v>
      </c>
      <c r="AG315" s="31">
        <f>IF(AQ315="2",BI315,0)</f>
        <v>0</v>
      </c>
      <c r="AH315" s="31">
        <f>IF(AQ315="0",BJ315,0)</f>
        <v>0</v>
      </c>
      <c r="AI315" s="42" t="s">
        <v>85</v>
      </c>
      <c r="AJ315" s="31">
        <f>IF(AN315=0,I315,0)</f>
        <v>0</v>
      </c>
      <c r="AK315" s="31">
        <f>IF(AN315=12,I315,0)</f>
        <v>0</v>
      </c>
      <c r="AL315" s="31">
        <f>IF(AN315=21,I315,0)</f>
        <v>0</v>
      </c>
      <c r="AN315" s="31">
        <v>21</v>
      </c>
      <c r="AO315" s="31">
        <f>H315*0</f>
        <v>0</v>
      </c>
      <c r="AP315" s="31">
        <f>H315*(1-0)</f>
        <v>0</v>
      </c>
      <c r="AQ315" s="32" t="s">
        <v>146</v>
      </c>
      <c r="AV315" s="31">
        <f>AW315+AX315</f>
        <v>0</v>
      </c>
      <c r="AW315" s="31">
        <f>G315*AO315</f>
        <v>0</v>
      </c>
      <c r="AX315" s="31">
        <f>G315*AP315</f>
        <v>0</v>
      </c>
      <c r="AY315" s="32" t="s">
        <v>616</v>
      </c>
      <c r="AZ315" s="32" t="s">
        <v>577</v>
      </c>
      <c r="BA315" s="42" t="s">
        <v>128</v>
      </c>
      <c r="BC315" s="31">
        <f>AW315+AX315</f>
        <v>0</v>
      </c>
      <c r="BD315" s="31">
        <f>H315/(100-BE315)*100</f>
        <v>0</v>
      </c>
      <c r="BE315" s="31">
        <v>0</v>
      </c>
      <c r="BF315" s="31">
        <f>K315</f>
        <v>0</v>
      </c>
      <c r="BH315" s="31">
        <f>G315*AO315</f>
        <v>0</v>
      </c>
      <c r="BI315" s="31">
        <f>G315*AP315</f>
        <v>0</v>
      </c>
      <c r="BJ315" s="31">
        <f>G315*H315</f>
        <v>0</v>
      </c>
      <c r="BK315" s="31"/>
      <c r="BL315" s="31"/>
      <c r="BW315" s="31">
        <v>21</v>
      </c>
    </row>
    <row r="316" spans="1:12" ht="15" customHeight="1">
      <c r="A316" s="60"/>
      <c r="D316" s="61" t="s">
        <v>640</v>
      </c>
      <c r="E316" s="62"/>
      <c r="G316" s="63">
        <v>102.84</v>
      </c>
      <c r="L316" s="64"/>
    </row>
    <row r="317" spans="1:75" ht="13.5" customHeight="1">
      <c r="A317" s="30" t="s">
        <v>641</v>
      </c>
      <c r="B317" s="3" t="s">
        <v>85</v>
      </c>
      <c r="C317" s="3" t="s">
        <v>642</v>
      </c>
      <c r="D317" s="78" t="s">
        <v>643</v>
      </c>
      <c r="E317" s="78"/>
      <c r="F317" s="3" t="s">
        <v>609</v>
      </c>
      <c r="G317" s="31">
        <f>'Stavební rozpočet'!G296</f>
        <v>51.42</v>
      </c>
      <c r="H317" s="170">
        <v>0</v>
      </c>
      <c r="I317" s="31">
        <f>G317*H317</f>
        <v>0</v>
      </c>
      <c r="J317" s="31">
        <f>'Stavební rozpočet'!J296</f>
        <v>0</v>
      </c>
      <c r="K317" s="31">
        <f>G317*J317</f>
        <v>0</v>
      </c>
      <c r="L317" s="59" t="s">
        <v>125</v>
      </c>
      <c r="Z317" s="31">
        <f>IF(AQ317="5",BJ317,0)</f>
        <v>0</v>
      </c>
      <c r="AB317" s="31">
        <f>IF(AQ317="1",BH317,0)</f>
        <v>0</v>
      </c>
      <c r="AC317" s="31">
        <f>IF(AQ317="1",BI317,0)</f>
        <v>0</v>
      </c>
      <c r="AD317" s="31">
        <f>IF(AQ317="7",BH317,0)</f>
        <v>0</v>
      </c>
      <c r="AE317" s="31">
        <f>IF(AQ317="7",BI317,0)</f>
        <v>0</v>
      </c>
      <c r="AF317" s="31">
        <f>IF(AQ317="2",BH317,0)</f>
        <v>0</v>
      </c>
      <c r="AG317" s="31">
        <f>IF(AQ317="2",BI317,0)</f>
        <v>0</v>
      </c>
      <c r="AH317" s="31">
        <f>IF(AQ317="0",BJ317,0)</f>
        <v>0</v>
      </c>
      <c r="AI317" s="42" t="s">
        <v>85</v>
      </c>
      <c r="AJ317" s="31">
        <f>IF(AN317=0,I317,0)</f>
        <v>0</v>
      </c>
      <c r="AK317" s="31">
        <f>IF(AN317=12,I317,0)</f>
        <v>0</v>
      </c>
      <c r="AL317" s="31">
        <f>IF(AN317=21,I317,0)</f>
        <v>0</v>
      </c>
      <c r="AN317" s="31">
        <v>21</v>
      </c>
      <c r="AO317" s="31">
        <f>H317*0</f>
        <v>0</v>
      </c>
      <c r="AP317" s="31">
        <f>H317*(1-0)</f>
        <v>0</v>
      </c>
      <c r="AQ317" s="32" t="s">
        <v>146</v>
      </c>
      <c r="AV317" s="31">
        <f>AW317+AX317</f>
        <v>0</v>
      </c>
      <c r="AW317" s="31">
        <f>G317*AO317</f>
        <v>0</v>
      </c>
      <c r="AX317" s="31">
        <f>G317*AP317</f>
        <v>0</v>
      </c>
      <c r="AY317" s="32" t="s">
        <v>616</v>
      </c>
      <c r="AZ317" s="32" t="s">
        <v>577</v>
      </c>
      <c r="BA317" s="42" t="s">
        <v>128</v>
      </c>
      <c r="BC317" s="31">
        <f>AW317+AX317</f>
        <v>0</v>
      </c>
      <c r="BD317" s="31">
        <f>H317/(100-BE317)*100</f>
        <v>0</v>
      </c>
      <c r="BE317" s="31">
        <v>0</v>
      </c>
      <c r="BF317" s="31">
        <f>K317</f>
        <v>0</v>
      </c>
      <c r="BH317" s="31">
        <f>G317*AO317</f>
        <v>0</v>
      </c>
      <c r="BI317" s="31">
        <f>G317*AP317</f>
        <v>0</v>
      </c>
      <c r="BJ317" s="31">
        <f>G317*H317</f>
        <v>0</v>
      </c>
      <c r="BK317" s="31"/>
      <c r="BL317" s="31"/>
      <c r="BW317" s="31">
        <v>21</v>
      </c>
    </row>
    <row r="318" spans="1:12" ht="15" customHeight="1">
      <c r="A318" s="60"/>
      <c r="D318" s="61" t="s">
        <v>629</v>
      </c>
      <c r="E318" s="62"/>
      <c r="G318" s="63">
        <v>51.42</v>
      </c>
      <c r="L318" s="64"/>
    </row>
    <row r="319" spans="1:75" ht="13.5" customHeight="1">
      <c r="A319" s="30" t="s">
        <v>644</v>
      </c>
      <c r="B319" s="3" t="s">
        <v>85</v>
      </c>
      <c r="C319" s="3" t="s">
        <v>645</v>
      </c>
      <c r="D319" s="78" t="s">
        <v>646</v>
      </c>
      <c r="E319" s="78"/>
      <c r="F319" s="3" t="s">
        <v>609</v>
      </c>
      <c r="G319" s="31">
        <f>'Stavební rozpočet'!G298</f>
        <v>9.94</v>
      </c>
      <c r="H319" s="170">
        <v>0</v>
      </c>
      <c r="I319" s="31">
        <f>G319*H319</f>
        <v>0</v>
      </c>
      <c r="J319" s="31">
        <f>'Stavební rozpočet'!J298</f>
        <v>0</v>
      </c>
      <c r="K319" s="31">
        <f>G319*J319</f>
        <v>0</v>
      </c>
      <c r="L319" s="59" t="s">
        <v>125</v>
      </c>
      <c r="Z319" s="31">
        <f>IF(AQ319="5",BJ319,0)</f>
        <v>0</v>
      </c>
      <c r="AB319" s="31">
        <f>IF(AQ319="1",BH319,0)</f>
        <v>0</v>
      </c>
      <c r="AC319" s="31">
        <f>IF(AQ319="1",BI319,0)</f>
        <v>0</v>
      </c>
      <c r="AD319" s="31">
        <f>IF(AQ319="7",BH319,0)</f>
        <v>0</v>
      </c>
      <c r="AE319" s="31">
        <f>IF(AQ319="7",BI319,0)</f>
        <v>0</v>
      </c>
      <c r="AF319" s="31">
        <f>IF(AQ319="2",BH319,0)</f>
        <v>0</v>
      </c>
      <c r="AG319" s="31">
        <f>IF(AQ319="2",BI319,0)</f>
        <v>0</v>
      </c>
      <c r="AH319" s="31">
        <f>IF(AQ319="0",BJ319,0)</f>
        <v>0</v>
      </c>
      <c r="AI319" s="42" t="s">
        <v>85</v>
      </c>
      <c r="AJ319" s="31">
        <f>IF(AN319=0,I319,0)</f>
        <v>0</v>
      </c>
      <c r="AK319" s="31">
        <f>IF(AN319=12,I319,0)</f>
        <v>0</v>
      </c>
      <c r="AL319" s="31">
        <f>IF(AN319=21,I319,0)</f>
        <v>0</v>
      </c>
      <c r="AN319" s="31">
        <v>21</v>
      </c>
      <c r="AO319" s="31">
        <f>H319*0</f>
        <v>0</v>
      </c>
      <c r="AP319" s="31">
        <f>H319*(1-0)</f>
        <v>0</v>
      </c>
      <c r="AQ319" s="32" t="s">
        <v>146</v>
      </c>
      <c r="AV319" s="31">
        <f>AW319+AX319</f>
        <v>0</v>
      </c>
      <c r="AW319" s="31">
        <f>G319*AO319</f>
        <v>0</v>
      </c>
      <c r="AX319" s="31">
        <f>G319*AP319</f>
        <v>0</v>
      </c>
      <c r="AY319" s="32" t="s">
        <v>616</v>
      </c>
      <c r="AZ319" s="32" t="s">
        <v>577</v>
      </c>
      <c r="BA319" s="42" t="s">
        <v>128</v>
      </c>
      <c r="BC319" s="31">
        <f>AW319+AX319</f>
        <v>0</v>
      </c>
      <c r="BD319" s="31">
        <f>H319/(100-BE319)*100</f>
        <v>0</v>
      </c>
      <c r="BE319" s="31">
        <v>0</v>
      </c>
      <c r="BF319" s="31">
        <f>K319</f>
        <v>0</v>
      </c>
      <c r="BH319" s="31">
        <f>G319*AO319</f>
        <v>0</v>
      </c>
      <c r="BI319" s="31">
        <f>G319*AP319</f>
        <v>0</v>
      </c>
      <c r="BJ319" s="31">
        <f>G319*H319</f>
        <v>0</v>
      </c>
      <c r="BK319" s="31"/>
      <c r="BL319" s="31"/>
      <c r="BW319" s="31">
        <v>21</v>
      </c>
    </row>
    <row r="320" spans="1:12" ht="15" customHeight="1">
      <c r="A320" s="60"/>
      <c r="D320" s="61" t="s">
        <v>617</v>
      </c>
      <c r="E320" s="62"/>
      <c r="G320" s="63">
        <v>9.940000000000001</v>
      </c>
      <c r="L320" s="64"/>
    </row>
    <row r="321" spans="1:75" ht="13.5" customHeight="1">
      <c r="A321" s="30" t="s">
        <v>647</v>
      </c>
      <c r="B321" s="3" t="s">
        <v>85</v>
      </c>
      <c r="C321" s="3" t="s">
        <v>648</v>
      </c>
      <c r="D321" s="78" t="s">
        <v>649</v>
      </c>
      <c r="E321" s="78"/>
      <c r="F321" s="3" t="s">
        <v>609</v>
      </c>
      <c r="G321" s="31">
        <f>'Stavební rozpočet'!G300</f>
        <v>39.02</v>
      </c>
      <c r="H321" s="170">
        <v>0</v>
      </c>
      <c r="I321" s="31">
        <f>G321*H321</f>
        <v>0</v>
      </c>
      <c r="J321" s="31">
        <f>'Stavební rozpočet'!J300</f>
        <v>0</v>
      </c>
      <c r="K321" s="31">
        <f>G321*J321</f>
        <v>0</v>
      </c>
      <c r="L321" s="59" t="s">
        <v>125</v>
      </c>
      <c r="Z321" s="31">
        <f>IF(AQ321="5",BJ321,0)</f>
        <v>0</v>
      </c>
      <c r="AB321" s="31">
        <f>IF(AQ321="1",BH321,0)</f>
        <v>0</v>
      </c>
      <c r="AC321" s="31">
        <f>IF(AQ321="1",BI321,0)</f>
        <v>0</v>
      </c>
      <c r="AD321" s="31">
        <f>IF(AQ321="7",BH321,0)</f>
        <v>0</v>
      </c>
      <c r="AE321" s="31">
        <f>IF(AQ321="7",BI321,0)</f>
        <v>0</v>
      </c>
      <c r="AF321" s="31">
        <f>IF(AQ321="2",BH321,0)</f>
        <v>0</v>
      </c>
      <c r="AG321" s="31">
        <f>IF(AQ321="2",BI321,0)</f>
        <v>0</v>
      </c>
      <c r="AH321" s="31">
        <f>IF(AQ321="0",BJ321,0)</f>
        <v>0</v>
      </c>
      <c r="AI321" s="42" t="s">
        <v>85</v>
      </c>
      <c r="AJ321" s="31">
        <f>IF(AN321=0,I321,0)</f>
        <v>0</v>
      </c>
      <c r="AK321" s="31">
        <f>IF(AN321=12,I321,0)</f>
        <v>0</v>
      </c>
      <c r="AL321" s="31">
        <f>IF(AN321=21,I321,0)</f>
        <v>0</v>
      </c>
      <c r="AN321" s="31">
        <v>21</v>
      </c>
      <c r="AO321" s="31">
        <f>H321*0</f>
        <v>0</v>
      </c>
      <c r="AP321" s="31">
        <f>H321*(1-0)</f>
        <v>0</v>
      </c>
      <c r="AQ321" s="32" t="s">
        <v>146</v>
      </c>
      <c r="AV321" s="31">
        <f>AW321+AX321</f>
        <v>0</v>
      </c>
      <c r="AW321" s="31">
        <f>G321*AO321</f>
        <v>0</v>
      </c>
      <c r="AX321" s="31">
        <f>G321*AP321</f>
        <v>0</v>
      </c>
      <c r="AY321" s="32" t="s">
        <v>616</v>
      </c>
      <c r="AZ321" s="32" t="s">
        <v>577</v>
      </c>
      <c r="BA321" s="42" t="s">
        <v>128</v>
      </c>
      <c r="BC321" s="31">
        <f>AW321+AX321</f>
        <v>0</v>
      </c>
      <c r="BD321" s="31">
        <f>H321/(100-BE321)*100</f>
        <v>0</v>
      </c>
      <c r="BE321" s="31">
        <v>0</v>
      </c>
      <c r="BF321" s="31">
        <f>K321</f>
        <v>0</v>
      </c>
      <c r="BH321" s="31">
        <f>G321*AO321</f>
        <v>0</v>
      </c>
      <c r="BI321" s="31">
        <f>G321*AP321</f>
        <v>0</v>
      </c>
      <c r="BJ321" s="31">
        <f>G321*H321</f>
        <v>0</v>
      </c>
      <c r="BK321" s="31"/>
      <c r="BL321" s="31"/>
      <c r="BW321" s="31">
        <v>21</v>
      </c>
    </row>
    <row r="322" spans="1:12" ht="15" customHeight="1">
      <c r="A322" s="60"/>
      <c r="D322" s="61" t="s">
        <v>619</v>
      </c>
      <c r="E322" s="62"/>
      <c r="G322" s="63">
        <v>39.02</v>
      </c>
      <c r="L322" s="64"/>
    </row>
    <row r="323" spans="1:75" ht="13.5" customHeight="1">
      <c r="A323" s="30" t="s">
        <v>650</v>
      </c>
      <c r="B323" s="3" t="s">
        <v>85</v>
      </c>
      <c r="C323" s="3" t="s">
        <v>651</v>
      </c>
      <c r="D323" s="78" t="s">
        <v>652</v>
      </c>
      <c r="E323" s="78"/>
      <c r="F323" s="3" t="s">
        <v>609</v>
      </c>
      <c r="G323" s="31">
        <f>'Stavební rozpočet'!G302</f>
        <v>1.96</v>
      </c>
      <c r="H323" s="170">
        <v>0</v>
      </c>
      <c r="I323" s="31">
        <f>G323*H323</f>
        <v>0</v>
      </c>
      <c r="J323" s="31">
        <f>'Stavební rozpočet'!J302</f>
        <v>0</v>
      </c>
      <c r="K323" s="31">
        <f>G323*J323</f>
        <v>0</v>
      </c>
      <c r="L323" s="59" t="s">
        <v>125</v>
      </c>
      <c r="Z323" s="31">
        <f>IF(AQ323="5",BJ323,0)</f>
        <v>0</v>
      </c>
      <c r="AB323" s="31">
        <f>IF(AQ323="1",BH323,0)</f>
        <v>0</v>
      </c>
      <c r="AC323" s="31">
        <f>IF(AQ323="1",BI323,0)</f>
        <v>0</v>
      </c>
      <c r="AD323" s="31">
        <f>IF(AQ323="7",BH323,0)</f>
        <v>0</v>
      </c>
      <c r="AE323" s="31">
        <f>IF(AQ323="7",BI323,0)</f>
        <v>0</v>
      </c>
      <c r="AF323" s="31">
        <f>IF(AQ323="2",BH323,0)</f>
        <v>0</v>
      </c>
      <c r="AG323" s="31">
        <f>IF(AQ323="2",BI323,0)</f>
        <v>0</v>
      </c>
      <c r="AH323" s="31">
        <f>IF(AQ323="0",BJ323,0)</f>
        <v>0</v>
      </c>
      <c r="AI323" s="42" t="s">
        <v>85</v>
      </c>
      <c r="AJ323" s="31">
        <f>IF(AN323=0,I323,0)</f>
        <v>0</v>
      </c>
      <c r="AK323" s="31">
        <f>IF(AN323=12,I323,0)</f>
        <v>0</v>
      </c>
      <c r="AL323" s="31">
        <f>IF(AN323=21,I323,0)</f>
        <v>0</v>
      </c>
      <c r="AN323" s="31">
        <v>21</v>
      </c>
      <c r="AO323" s="31">
        <f>H323*0</f>
        <v>0</v>
      </c>
      <c r="AP323" s="31">
        <f>H323*(1-0)</f>
        <v>0</v>
      </c>
      <c r="AQ323" s="32" t="s">
        <v>146</v>
      </c>
      <c r="AV323" s="31">
        <f>AW323+AX323</f>
        <v>0</v>
      </c>
      <c r="AW323" s="31">
        <f>G323*AO323</f>
        <v>0</v>
      </c>
      <c r="AX323" s="31">
        <f>G323*AP323</f>
        <v>0</v>
      </c>
      <c r="AY323" s="32" t="s">
        <v>616</v>
      </c>
      <c r="AZ323" s="32" t="s">
        <v>577</v>
      </c>
      <c r="BA323" s="42" t="s">
        <v>128</v>
      </c>
      <c r="BC323" s="31">
        <f>AW323+AX323</f>
        <v>0</v>
      </c>
      <c r="BD323" s="31">
        <f>H323/(100-BE323)*100</f>
        <v>0</v>
      </c>
      <c r="BE323" s="31">
        <v>0</v>
      </c>
      <c r="BF323" s="31">
        <f>K323</f>
        <v>0</v>
      </c>
      <c r="BH323" s="31">
        <f>G323*AO323</f>
        <v>0</v>
      </c>
      <c r="BI323" s="31">
        <f>G323*AP323</f>
        <v>0</v>
      </c>
      <c r="BJ323" s="31">
        <f>G323*H323</f>
        <v>0</v>
      </c>
      <c r="BK323" s="31"/>
      <c r="BL323" s="31"/>
      <c r="BW323" s="31">
        <v>21</v>
      </c>
    </row>
    <row r="324" spans="1:12" ht="15" customHeight="1">
      <c r="A324" s="60"/>
      <c r="D324" s="61" t="s">
        <v>618</v>
      </c>
      <c r="E324" s="62"/>
      <c r="G324" s="63">
        <v>1.9600000000000002</v>
      </c>
      <c r="L324" s="64"/>
    </row>
    <row r="325" spans="1:75" ht="13.5" customHeight="1">
      <c r="A325" s="30" t="s">
        <v>653</v>
      </c>
      <c r="B325" s="3" t="s">
        <v>85</v>
      </c>
      <c r="C325" s="3" t="s">
        <v>654</v>
      </c>
      <c r="D325" s="78" t="s">
        <v>655</v>
      </c>
      <c r="E325" s="78"/>
      <c r="F325" s="3" t="s">
        <v>609</v>
      </c>
      <c r="G325" s="31">
        <f>'Stavební rozpočet'!G304</f>
        <v>0.5</v>
      </c>
      <c r="H325" s="170">
        <v>0</v>
      </c>
      <c r="I325" s="31">
        <f>G325*H325</f>
        <v>0</v>
      </c>
      <c r="J325" s="31">
        <f>'Stavební rozpočet'!J304</f>
        <v>0</v>
      </c>
      <c r="K325" s="31">
        <f>G325*J325</f>
        <v>0</v>
      </c>
      <c r="L325" s="59" t="s">
        <v>125</v>
      </c>
      <c r="Z325" s="31">
        <f>IF(AQ325="5",BJ325,0)</f>
        <v>0</v>
      </c>
      <c r="AB325" s="31">
        <f>IF(AQ325="1",BH325,0)</f>
        <v>0</v>
      </c>
      <c r="AC325" s="31">
        <f>IF(AQ325="1",BI325,0)</f>
        <v>0</v>
      </c>
      <c r="AD325" s="31">
        <f>IF(AQ325="7",BH325,0)</f>
        <v>0</v>
      </c>
      <c r="AE325" s="31">
        <f>IF(AQ325="7",BI325,0)</f>
        <v>0</v>
      </c>
      <c r="AF325" s="31">
        <f>IF(AQ325="2",BH325,0)</f>
        <v>0</v>
      </c>
      <c r="AG325" s="31">
        <f>IF(AQ325="2",BI325,0)</f>
        <v>0</v>
      </c>
      <c r="AH325" s="31">
        <f>IF(AQ325="0",BJ325,0)</f>
        <v>0</v>
      </c>
      <c r="AI325" s="42" t="s">
        <v>85</v>
      </c>
      <c r="AJ325" s="31">
        <f>IF(AN325=0,I325,0)</f>
        <v>0</v>
      </c>
      <c r="AK325" s="31">
        <f>IF(AN325=12,I325,0)</f>
        <v>0</v>
      </c>
      <c r="AL325" s="31">
        <f>IF(AN325=21,I325,0)</f>
        <v>0</v>
      </c>
      <c r="AN325" s="31">
        <v>21</v>
      </c>
      <c r="AO325" s="31">
        <f>H325*0</f>
        <v>0</v>
      </c>
      <c r="AP325" s="31">
        <f>H325*(1-0)</f>
        <v>0</v>
      </c>
      <c r="AQ325" s="32" t="s">
        <v>146</v>
      </c>
      <c r="AV325" s="31">
        <f>AW325+AX325</f>
        <v>0</v>
      </c>
      <c r="AW325" s="31">
        <f>G325*AO325</f>
        <v>0</v>
      </c>
      <c r="AX325" s="31">
        <f>G325*AP325</f>
        <v>0</v>
      </c>
      <c r="AY325" s="32" t="s">
        <v>616</v>
      </c>
      <c r="AZ325" s="32" t="s">
        <v>577</v>
      </c>
      <c r="BA325" s="42" t="s">
        <v>128</v>
      </c>
      <c r="BC325" s="31">
        <f>AW325+AX325</f>
        <v>0</v>
      </c>
      <c r="BD325" s="31">
        <f>H325/(100-BE325)*100</f>
        <v>0</v>
      </c>
      <c r="BE325" s="31">
        <v>0</v>
      </c>
      <c r="BF325" s="31">
        <f>K325</f>
        <v>0</v>
      </c>
      <c r="BH325" s="31">
        <f>G325*AO325</f>
        <v>0</v>
      </c>
      <c r="BI325" s="31">
        <f>G325*AP325</f>
        <v>0</v>
      </c>
      <c r="BJ325" s="31">
        <f>G325*H325</f>
        <v>0</v>
      </c>
      <c r="BK325" s="31"/>
      <c r="BL325" s="31"/>
      <c r="BW325" s="31">
        <v>21</v>
      </c>
    </row>
    <row r="326" spans="1:12" ht="15" customHeight="1">
      <c r="A326" s="65"/>
      <c r="B326" s="66"/>
      <c r="C326" s="66"/>
      <c r="D326" s="67" t="s">
        <v>656</v>
      </c>
      <c r="E326" s="68"/>
      <c r="F326" s="66"/>
      <c r="G326" s="69">
        <v>0.5</v>
      </c>
      <c r="H326" s="66"/>
      <c r="I326" s="66"/>
      <c r="J326" s="66"/>
      <c r="K326" s="66"/>
      <c r="L326" s="70"/>
    </row>
    <row r="327" ht="15" customHeight="1">
      <c r="I327" s="35">
        <f>ROUND(I13+I21+I32+I42+I57+I138+I185+I249+I261+I281+I298+I300,0)</f>
        <v>0</v>
      </c>
    </row>
    <row r="328" ht="15" customHeight="1">
      <c r="A328" s="17" t="s">
        <v>55</v>
      </c>
    </row>
    <row r="329" spans="1:12" ht="13.5" customHeight="1">
      <c r="A329" s="78" t="s">
        <v>92</v>
      </c>
      <c r="B329" s="78"/>
      <c r="C329" s="78"/>
      <c r="D329" s="78"/>
      <c r="E329" s="78"/>
      <c r="F329" s="78"/>
      <c r="G329" s="78"/>
      <c r="H329" s="78"/>
      <c r="I329" s="78"/>
      <c r="J329" s="78"/>
      <c r="K329" s="78"/>
      <c r="L329" s="78"/>
    </row>
  </sheetData>
  <sheetProtection algorithmName="SHA-512" hashValue="kEhSdpzmkRnyeABzFg87hcG8Alu6xvg/nTauuoaRImf1ej30pSFniDa5XuF4TxmRRYS5F2MDMWDjNZgDSVLHDw==" saltValue="uTlKIWI57rntPAwCsbhK2w==" spinCount="100000" sheet="1" objects="1" scenarios="1"/>
  <mergeCells count="173">
    <mergeCell ref="D321:E321"/>
    <mergeCell ref="D323:E323"/>
    <mergeCell ref="D325:E325"/>
    <mergeCell ref="A329:L329"/>
    <mergeCell ref="D309:E309"/>
    <mergeCell ref="D311:E311"/>
    <mergeCell ref="D313:E313"/>
    <mergeCell ref="D315:E315"/>
    <mergeCell ref="D317:E317"/>
    <mergeCell ref="D319:E319"/>
    <mergeCell ref="D296:E296"/>
    <mergeCell ref="D298:E298"/>
    <mergeCell ref="D299:E299"/>
    <mergeCell ref="D300:E300"/>
    <mergeCell ref="D301:E301"/>
    <mergeCell ref="D307:E307"/>
    <mergeCell ref="D284:E284"/>
    <mergeCell ref="D286:E286"/>
    <mergeCell ref="D288:E288"/>
    <mergeCell ref="D290:E290"/>
    <mergeCell ref="D292:E292"/>
    <mergeCell ref="D294:E294"/>
    <mergeCell ref="D264:E264"/>
    <mergeCell ref="D265:L265"/>
    <mergeCell ref="D277:E277"/>
    <mergeCell ref="D279:E279"/>
    <mergeCell ref="D281:E281"/>
    <mergeCell ref="D282:E282"/>
    <mergeCell ref="D253:E253"/>
    <mergeCell ref="D256:E256"/>
    <mergeCell ref="D257:L257"/>
    <mergeCell ref="D259:E259"/>
    <mergeCell ref="D261:E261"/>
    <mergeCell ref="D262:E262"/>
    <mergeCell ref="D243:E243"/>
    <mergeCell ref="D245:E245"/>
    <mergeCell ref="D247:E247"/>
    <mergeCell ref="D249:E249"/>
    <mergeCell ref="D250:E250"/>
    <mergeCell ref="D251:L251"/>
    <mergeCell ref="D230:E230"/>
    <mergeCell ref="D231:L231"/>
    <mergeCell ref="D233:E233"/>
    <mergeCell ref="D236:E236"/>
    <mergeCell ref="D239:E239"/>
    <mergeCell ref="D241:E241"/>
    <mergeCell ref="D218:E218"/>
    <mergeCell ref="D221:E221"/>
    <mergeCell ref="D224:E224"/>
    <mergeCell ref="D225:L225"/>
    <mergeCell ref="D227:E227"/>
    <mergeCell ref="D228:L228"/>
    <mergeCell ref="D201:E201"/>
    <mergeCell ref="D203:E203"/>
    <mergeCell ref="D205:E205"/>
    <mergeCell ref="D207:E207"/>
    <mergeCell ref="D208:L208"/>
    <mergeCell ref="D216:E216"/>
    <mergeCell ref="D185:E185"/>
    <mergeCell ref="D186:E186"/>
    <mergeCell ref="D187:L187"/>
    <mergeCell ref="D195:E195"/>
    <mergeCell ref="D197:E197"/>
    <mergeCell ref="D199:E199"/>
    <mergeCell ref="D174:L174"/>
    <mergeCell ref="D176:E176"/>
    <mergeCell ref="D178:E178"/>
    <mergeCell ref="D180:E180"/>
    <mergeCell ref="D181:L181"/>
    <mergeCell ref="D183:E183"/>
    <mergeCell ref="D163:E163"/>
    <mergeCell ref="D165:E165"/>
    <mergeCell ref="D167:E167"/>
    <mergeCell ref="D169:E169"/>
    <mergeCell ref="D171:E171"/>
    <mergeCell ref="D173:E173"/>
    <mergeCell ref="D153:E153"/>
    <mergeCell ref="D154:L154"/>
    <mergeCell ref="D156:E156"/>
    <mergeCell ref="D158:E158"/>
    <mergeCell ref="D159:L159"/>
    <mergeCell ref="D161:E161"/>
    <mergeCell ref="D141:E141"/>
    <mergeCell ref="D143:E143"/>
    <mergeCell ref="D145:E145"/>
    <mergeCell ref="D147:E147"/>
    <mergeCell ref="D149:E149"/>
    <mergeCell ref="D151:E151"/>
    <mergeCell ref="D129:E129"/>
    <mergeCell ref="D132:E132"/>
    <mergeCell ref="D133:L133"/>
    <mergeCell ref="D135:E135"/>
    <mergeCell ref="D138:E138"/>
    <mergeCell ref="D139:E139"/>
    <mergeCell ref="D116:E116"/>
    <mergeCell ref="D119:E119"/>
    <mergeCell ref="D121:E121"/>
    <mergeCell ref="D122:L122"/>
    <mergeCell ref="D124:E124"/>
    <mergeCell ref="D126:E126"/>
    <mergeCell ref="D100:E100"/>
    <mergeCell ref="D103:E103"/>
    <mergeCell ref="D105:E105"/>
    <mergeCell ref="D108:E108"/>
    <mergeCell ref="D110:E110"/>
    <mergeCell ref="D113:E113"/>
    <mergeCell ref="D77:E77"/>
    <mergeCell ref="D79:E79"/>
    <mergeCell ref="D81:E81"/>
    <mergeCell ref="D91:E91"/>
    <mergeCell ref="D94:E94"/>
    <mergeCell ref="D98:E98"/>
    <mergeCell ref="D57:E57"/>
    <mergeCell ref="D58:E58"/>
    <mergeCell ref="D67:E67"/>
    <mergeCell ref="D70:E70"/>
    <mergeCell ref="D72:E72"/>
    <mergeCell ref="D75:E75"/>
    <mergeCell ref="D45:E45"/>
    <mergeCell ref="D46:L46"/>
    <mergeCell ref="D49:E49"/>
    <mergeCell ref="D52:E52"/>
    <mergeCell ref="D53:L53"/>
    <mergeCell ref="D55:E55"/>
    <mergeCell ref="D34:L34"/>
    <mergeCell ref="D36:E36"/>
    <mergeCell ref="D37:L37"/>
    <mergeCell ref="D40:E40"/>
    <mergeCell ref="D42:E42"/>
    <mergeCell ref="D43:E43"/>
    <mergeCell ref="D25:L25"/>
    <mergeCell ref="D27:E27"/>
    <mergeCell ref="D28:L28"/>
    <mergeCell ref="D30:E30"/>
    <mergeCell ref="D32:E32"/>
    <mergeCell ref="D33:E33"/>
    <mergeCell ref="D16:E16"/>
    <mergeCell ref="D18:E18"/>
    <mergeCell ref="D19:L19"/>
    <mergeCell ref="D21:E21"/>
    <mergeCell ref="D22:E22"/>
    <mergeCell ref="D24:E24"/>
    <mergeCell ref="D10:E10"/>
    <mergeCell ref="J10:K10"/>
    <mergeCell ref="D11:E11"/>
    <mergeCell ref="D12:E12"/>
    <mergeCell ref="D13:E13"/>
    <mergeCell ref="D14:E14"/>
    <mergeCell ref="A8:C9"/>
    <mergeCell ref="D8:E9"/>
    <mergeCell ref="F8:G9"/>
    <mergeCell ref="H8:H9"/>
    <mergeCell ref="I8:I9"/>
    <mergeCell ref="J8:L9"/>
    <mergeCell ref="A6:C7"/>
    <mergeCell ref="D6:E7"/>
    <mergeCell ref="F6:G7"/>
    <mergeCell ref="H6:H7"/>
    <mergeCell ref="I6:I7"/>
    <mergeCell ref="J6:L7"/>
    <mergeCell ref="A4:C5"/>
    <mergeCell ref="D4:E5"/>
    <mergeCell ref="F4:G5"/>
    <mergeCell ref="H4:H5"/>
    <mergeCell ref="I4:I5"/>
    <mergeCell ref="J4:L5"/>
    <mergeCell ref="A1:L1"/>
    <mergeCell ref="A2:C3"/>
    <mergeCell ref="D2:E3"/>
    <mergeCell ref="F2:G3"/>
    <mergeCell ref="H2:H3"/>
    <mergeCell ref="I2:I3"/>
    <mergeCell ref="J2:L3"/>
  </mergeCells>
  <printOptions/>
  <pageMargins left="0.39375" right="0.39375" top="0.5909722222222222" bottom="0.5909722222222222" header="0.5118110236220472" footer="0.5118110236220472"/>
  <pageSetup fitToHeight="0" fitToWidth="1" horizontalDpi="300" verticalDpi="300"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9"/>
  <sheetViews>
    <sheetView showOutlineSymbols="0" workbookViewId="0" topLeftCell="A1">
      <pane ySplit="11" topLeftCell="A12" activePane="bottomLeft" state="frozen"/>
      <selection pane="bottomLeft" activeCell="Q18" sqref="Q18"/>
    </sheetView>
  </sheetViews>
  <sheetFormatPr defaultColWidth="14.16015625" defaultRowHeight="15" customHeight="1"/>
  <cols>
    <col min="1" max="1" width="4.66015625" style="1" customWidth="1"/>
    <col min="2" max="2" width="8.83203125" style="1" customWidth="1"/>
    <col min="3" max="3" width="20.83203125" style="1" customWidth="1"/>
    <col min="4" max="4" width="2.83203125" style="1" customWidth="1"/>
    <col min="5" max="5" width="33.66015625" style="1" customWidth="1"/>
    <col min="6" max="6" width="5" style="1" customWidth="1"/>
    <col min="7" max="7" width="15" style="1" customWidth="1"/>
    <col min="8" max="8" width="14" style="1" customWidth="1"/>
    <col min="9" max="10" width="18.33203125" style="1" customWidth="1"/>
    <col min="11" max="11" width="13.66015625" style="1" customWidth="1"/>
    <col min="12" max="12" width="15.66015625" style="1" customWidth="1"/>
    <col min="13" max="13" width="14.16015625" style="1" customWidth="1"/>
    <col min="25" max="75" width="14.16015625" style="1" hidden="1" customWidth="1"/>
  </cols>
  <sheetData>
    <row r="1" spans="1:47" ht="54.75" customHeight="1">
      <c r="A1" s="112" t="s">
        <v>657</v>
      </c>
      <c r="B1" s="112"/>
      <c r="C1" s="112"/>
      <c r="D1" s="112"/>
      <c r="E1" s="112"/>
      <c r="F1" s="112"/>
      <c r="G1" s="112"/>
      <c r="H1" s="112"/>
      <c r="I1" s="112"/>
      <c r="J1" s="112"/>
      <c r="K1" s="112"/>
      <c r="L1" s="112"/>
      <c r="M1" s="112"/>
      <c r="AS1" s="36">
        <f>SUM(AJ1:AJ2)</f>
        <v>0</v>
      </c>
      <c r="AT1" s="36">
        <f>SUM(AK1:AK2)</f>
        <v>0</v>
      </c>
      <c r="AU1" s="36">
        <f>SUM(AL1:AL2)</f>
        <v>0</v>
      </c>
    </row>
    <row r="2" spans="1:13" ht="15" customHeight="1">
      <c r="A2" s="73" t="s">
        <v>1</v>
      </c>
      <c r="B2" s="73"/>
      <c r="C2" s="73"/>
      <c r="D2" s="74" t="str">
        <f>'Stavební rozpočet'!D2</f>
        <v>OPRAVA STŘECHY OBJEKTU UBYTOVNY SESTER Č.P. 506 - ODBORNÝ LÉČEBNÝ ÚSTAV JEVÍČKO</v>
      </c>
      <c r="E2" s="74"/>
      <c r="F2" s="74"/>
      <c r="G2" s="74"/>
      <c r="H2" s="118" t="s">
        <v>77</v>
      </c>
      <c r="I2" s="118"/>
      <c r="J2" s="75" t="str">
        <f>'Stavební rozpočet'!H2</f>
        <v xml:space="preserve"> </v>
      </c>
      <c r="K2" s="75" t="s">
        <v>2</v>
      </c>
      <c r="L2" s="113" t="str">
        <f>'Stavební rozpočet'!J2</f>
        <v>Pardubický kraj, Komenského nám. 125, Pardubice</v>
      </c>
      <c r="M2" s="113"/>
    </row>
    <row r="3" spans="1:13" ht="15" customHeight="1">
      <c r="A3" s="73"/>
      <c r="B3" s="73"/>
      <c r="C3" s="73"/>
      <c r="D3" s="74"/>
      <c r="E3" s="74"/>
      <c r="F3" s="74"/>
      <c r="G3" s="74"/>
      <c r="H3" s="118"/>
      <c r="I3" s="118"/>
      <c r="J3" s="75"/>
      <c r="K3" s="75"/>
      <c r="L3" s="75"/>
      <c r="M3" s="113"/>
    </row>
    <row r="4" spans="1:13" ht="15" customHeight="1">
      <c r="A4" s="77" t="s">
        <v>4</v>
      </c>
      <c r="B4" s="77"/>
      <c r="C4" s="77"/>
      <c r="D4" s="78" t="str">
        <f>'Stavební rozpočet'!D4</f>
        <v xml:space="preserve"> </v>
      </c>
      <c r="E4" s="78"/>
      <c r="F4" s="78"/>
      <c r="G4" s="78"/>
      <c r="H4" s="80" t="s">
        <v>8</v>
      </c>
      <c r="I4" s="80"/>
      <c r="J4" s="78" t="str">
        <f>'Stavební rozpočet'!H4</f>
        <v>17.01.2024</v>
      </c>
      <c r="K4" s="78" t="s">
        <v>5</v>
      </c>
      <c r="L4" s="114" t="str">
        <f>'Stavební rozpočet'!J4</f>
        <v> </v>
      </c>
      <c r="M4" s="114"/>
    </row>
    <row r="5" spans="1:13" ht="15" customHeight="1">
      <c r="A5" s="77"/>
      <c r="B5" s="77"/>
      <c r="C5" s="77"/>
      <c r="D5" s="78"/>
      <c r="E5" s="78"/>
      <c r="F5" s="78"/>
      <c r="G5" s="78"/>
      <c r="H5" s="80"/>
      <c r="I5" s="80"/>
      <c r="J5" s="78"/>
      <c r="K5" s="78"/>
      <c r="L5" s="78"/>
      <c r="M5" s="114"/>
    </row>
    <row r="6" spans="1:13" ht="15" customHeight="1">
      <c r="A6" s="77" t="s">
        <v>6</v>
      </c>
      <c r="B6" s="77"/>
      <c r="C6" s="77"/>
      <c r="D6" s="78" t="str">
        <f>'Stavební rozpočet'!D6</f>
        <v xml:space="preserve"> </v>
      </c>
      <c r="E6" s="78"/>
      <c r="F6" s="78"/>
      <c r="G6" s="78"/>
      <c r="H6" s="80" t="s">
        <v>9</v>
      </c>
      <c r="I6" s="80"/>
      <c r="J6" s="78" t="str">
        <f>'Stavební rozpočet'!H6</f>
        <v xml:space="preserve"> </v>
      </c>
      <c r="K6" s="78" t="s">
        <v>7</v>
      </c>
      <c r="L6" s="114" t="str">
        <f>'Stavební rozpočet'!J6</f>
        <v> </v>
      </c>
      <c r="M6" s="114"/>
    </row>
    <row r="7" spans="1:13" ht="15" customHeight="1">
      <c r="A7" s="77"/>
      <c r="B7" s="77"/>
      <c r="C7" s="77"/>
      <c r="D7" s="78"/>
      <c r="E7" s="78"/>
      <c r="F7" s="78"/>
      <c r="G7" s="78"/>
      <c r="H7" s="80"/>
      <c r="I7" s="80"/>
      <c r="J7" s="78"/>
      <c r="K7" s="78"/>
      <c r="L7" s="78"/>
      <c r="M7" s="114"/>
    </row>
    <row r="8" spans="1:13" ht="15" customHeight="1">
      <c r="A8" s="77" t="s">
        <v>11</v>
      </c>
      <c r="B8" s="77"/>
      <c r="C8" s="77"/>
      <c r="D8" s="78" t="str">
        <f>'Stavební rozpočet'!D8</f>
        <v xml:space="preserve"> </v>
      </c>
      <c r="E8" s="78"/>
      <c r="F8" s="78"/>
      <c r="G8" s="78"/>
      <c r="H8" s="80" t="s">
        <v>78</v>
      </c>
      <c r="I8" s="80"/>
      <c r="J8" s="78" t="str">
        <f>'Stavební rozpočet'!H8</f>
        <v>17.01.2024</v>
      </c>
      <c r="K8" s="78" t="s">
        <v>12</v>
      </c>
      <c r="L8" s="114" t="str">
        <f>'Stavební rozpočet'!J8</f>
        <v>Martin Černý,DiS.</v>
      </c>
      <c r="M8" s="114"/>
    </row>
    <row r="9" spans="1:13" ht="15" customHeight="1" thickBot="1">
      <c r="A9" s="77"/>
      <c r="B9" s="77"/>
      <c r="C9" s="77"/>
      <c r="D9" s="78"/>
      <c r="E9" s="78"/>
      <c r="F9" s="78"/>
      <c r="G9" s="78"/>
      <c r="H9" s="80"/>
      <c r="I9" s="80"/>
      <c r="J9" s="78"/>
      <c r="K9" s="78"/>
      <c r="L9" s="78"/>
      <c r="M9" s="114"/>
    </row>
    <row r="10" spans="1:75" ht="15" customHeight="1">
      <c r="A10" s="37" t="s">
        <v>94</v>
      </c>
      <c r="B10" s="38" t="s">
        <v>82</v>
      </c>
      <c r="C10" s="38" t="s">
        <v>95</v>
      </c>
      <c r="D10" s="119" t="s">
        <v>83</v>
      </c>
      <c r="E10" s="119"/>
      <c r="F10" s="38" t="s">
        <v>96</v>
      </c>
      <c r="G10" s="39" t="s">
        <v>97</v>
      </c>
      <c r="H10" s="40" t="s">
        <v>98</v>
      </c>
      <c r="I10" s="26" t="s">
        <v>80</v>
      </c>
      <c r="J10" s="26" t="s">
        <v>80</v>
      </c>
      <c r="K10" s="120" t="s">
        <v>81</v>
      </c>
      <c r="L10" s="120"/>
      <c r="M10" s="26" t="s">
        <v>99</v>
      </c>
      <c r="BK10" s="42" t="s">
        <v>100</v>
      </c>
      <c r="BL10" s="43" t="s">
        <v>101</v>
      </c>
      <c r="BW10" s="43" t="s">
        <v>102</v>
      </c>
    </row>
    <row r="11" spans="1:62" ht="15" customHeight="1" thickBot="1">
      <c r="A11" s="44" t="s">
        <v>79</v>
      </c>
      <c r="B11" s="45" t="s">
        <v>79</v>
      </c>
      <c r="C11" s="45" t="s">
        <v>79</v>
      </c>
      <c r="D11" s="116" t="s">
        <v>103</v>
      </c>
      <c r="E11" s="116"/>
      <c r="F11" s="45" t="s">
        <v>79</v>
      </c>
      <c r="G11" s="45" t="s">
        <v>79</v>
      </c>
      <c r="H11" s="46" t="s">
        <v>104</v>
      </c>
      <c r="I11" s="29" t="s">
        <v>84</v>
      </c>
      <c r="J11" s="29" t="s">
        <v>84</v>
      </c>
      <c r="K11" s="46" t="s">
        <v>105</v>
      </c>
      <c r="L11" s="47" t="s">
        <v>84</v>
      </c>
      <c r="M11" s="71" t="s">
        <v>106</v>
      </c>
      <c r="Z11" s="42" t="s">
        <v>107</v>
      </c>
      <c r="AA11" s="42" t="s">
        <v>108</v>
      </c>
      <c r="AB11" s="42" t="s">
        <v>109</v>
      </c>
      <c r="AC11" s="42" t="s">
        <v>110</v>
      </c>
      <c r="AD11" s="42" t="s">
        <v>111</v>
      </c>
      <c r="AE11" s="42" t="s">
        <v>112</v>
      </c>
      <c r="AF11" s="42" t="s">
        <v>113</v>
      </c>
      <c r="AG11" s="42" t="s">
        <v>114</v>
      </c>
      <c r="AH11" s="42" t="s">
        <v>115</v>
      </c>
      <c r="BH11" s="42" t="s">
        <v>116</v>
      </c>
      <c r="BI11" s="42" t="s">
        <v>117</v>
      </c>
      <c r="BJ11" s="42" t="s">
        <v>118</v>
      </c>
    </row>
    <row r="12" spans="1:13" ht="15" customHeight="1">
      <c r="A12" s="49"/>
      <c r="B12" s="50" t="s">
        <v>88</v>
      </c>
      <c r="C12" s="50"/>
      <c r="D12" s="121" t="s">
        <v>89</v>
      </c>
      <c r="E12" s="121"/>
      <c r="F12" s="51" t="s">
        <v>79</v>
      </c>
      <c r="G12" s="51" t="s">
        <v>79</v>
      </c>
      <c r="H12" s="51" t="s">
        <v>79</v>
      </c>
      <c r="I12" s="52">
        <f>H14</f>
        <v>0</v>
      </c>
      <c r="J12" s="52">
        <f>J13</f>
        <v>0</v>
      </c>
      <c r="K12" s="53"/>
      <c r="L12" s="52">
        <f>L13</f>
        <v>0</v>
      </c>
      <c r="M12" s="64"/>
    </row>
    <row r="13" spans="1:47" ht="34.35" customHeight="1">
      <c r="A13" s="55"/>
      <c r="B13" s="56" t="s">
        <v>88</v>
      </c>
      <c r="C13" s="56" t="s">
        <v>658</v>
      </c>
      <c r="D13" s="122" t="s">
        <v>659</v>
      </c>
      <c r="E13" s="122"/>
      <c r="F13" s="57" t="s">
        <v>79</v>
      </c>
      <c r="G13" s="57" t="s">
        <v>79</v>
      </c>
      <c r="H13" s="57" t="s">
        <v>79</v>
      </c>
      <c r="I13" s="36">
        <f>SUM(I14:I14)</f>
        <v>0</v>
      </c>
      <c r="J13" s="36">
        <f>SUM(J14:J14)</f>
        <v>0</v>
      </c>
      <c r="K13" s="42"/>
      <c r="L13" s="36">
        <f>SUM(L14:L14)</f>
        <v>0</v>
      </c>
      <c r="M13" s="64"/>
      <c r="AI13" s="42" t="s">
        <v>88</v>
      </c>
      <c r="AS13" s="36">
        <f>SUM(AJ14:AJ14)</f>
        <v>0</v>
      </c>
      <c r="AT13" s="36">
        <f>SUM(AK14:AK14)</f>
        <v>0</v>
      </c>
      <c r="AU13" s="36">
        <f>SUM(AL14:AL14)</f>
        <v>0</v>
      </c>
    </row>
    <row r="14" spans="1:75" ht="13.5" customHeight="1">
      <c r="A14" s="30" t="s">
        <v>121</v>
      </c>
      <c r="B14" s="3" t="s">
        <v>88</v>
      </c>
      <c r="C14" s="3" t="s">
        <v>660</v>
      </c>
      <c r="D14" s="78" t="s">
        <v>661</v>
      </c>
      <c r="E14" s="78"/>
      <c r="F14" s="3" t="s">
        <v>449</v>
      </c>
      <c r="G14" s="31">
        <f>'Stavební rozpočet'!G308</f>
        <v>1</v>
      </c>
      <c r="H14" s="31">
        <f>'Hrom 681 682'!G10</f>
        <v>0</v>
      </c>
      <c r="I14" s="31">
        <f>G14*H14</f>
        <v>0</v>
      </c>
      <c r="J14" s="31">
        <f>H14*(1+BW14/100)</f>
        <v>0</v>
      </c>
      <c r="K14" s="31">
        <f>'Stavební rozpočet'!J308</f>
        <v>0</v>
      </c>
      <c r="L14" s="31">
        <f>G14*K14</f>
        <v>0</v>
      </c>
      <c r="M14" s="64"/>
      <c r="Z14" s="31">
        <f>IF(AQ14="5",BJ14,0)</f>
        <v>0</v>
      </c>
      <c r="AB14" s="31">
        <f>IF(AQ14="1",BH14,0)</f>
        <v>0</v>
      </c>
      <c r="AC14" s="31">
        <f>IF(AQ14="1",BI14,0)</f>
        <v>0</v>
      </c>
      <c r="AD14" s="31">
        <f>IF(AQ14="7",BH14,0)</f>
        <v>0</v>
      </c>
      <c r="AE14" s="31">
        <f>IF(AQ14="7",BI14,0)</f>
        <v>0</v>
      </c>
      <c r="AF14" s="31">
        <f>IF(AQ14="2",BH14,0)</f>
        <v>0</v>
      </c>
      <c r="AG14" s="31">
        <f>IF(AQ14="2",BI14,0)</f>
        <v>0</v>
      </c>
      <c r="AH14" s="31">
        <f>IF(AQ14="0",BJ14,0)</f>
        <v>0</v>
      </c>
      <c r="AI14" s="42" t="s">
        <v>88</v>
      </c>
      <c r="AJ14" s="31">
        <f>IF(AN14=0,I14,0)</f>
        <v>0</v>
      </c>
      <c r="AK14" s="31">
        <f>IF(AN14=12,I14,0)</f>
        <v>0</v>
      </c>
      <c r="AL14" s="31">
        <f>IF(AN14=21,I14,0)</f>
        <v>0</v>
      </c>
      <c r="AN14" s="31">
        <v>21</v>
      </c>
      <c r="AO14" s="31">
        <f>H14*0</f>
        <v>0</v>
      </c>
      <c r="AP14" s="31">
        <f>H14*(1-0)</f>
        <v>0</v>
      </c>
      <c r="AQ14" s="32" t="s">
        <v>130</v>
      </c>
      <c r="AV14" s="31">
        <f>AW14+AX14</f>
        <v>0</v>
      </c>
      <c r="AW14" s="31">
        <f>G14*AO14</f>
        <v>0</v>
      </c>
      <c r="AX14" s="31">
        <f>G14*AP14</f>
        <v>0</v>
      </c>
      <c r="AY14" s="32" t="s">
        <v>662</v>
      </c>
      <c r="AZ14" s="32" t="s">
        <v>663</v>
      </c>
      <c r="BA14" s="42" t="s">
        <v>664</v>
      </c>
      <c r="BC14" s="31">
        <f>AW14+AX14</f>
        <v>0</v>
      </c>
      <c r="BD14" s="31">
        <f>H14/(100-BE14)*100</f>
        <v>0</v>
      </c>
      <c r="BE14" s="31">
        <v>0</v>
      </c>
      <c r="BF14" s="31">
        <f>L14</f>
        <v>0</v>
      </c>
      <c r="BH14" s="31">
        <f>G14*AO14</f>
        <v>0</v>
      </c>
      <c r="BI14" s="31">
        <f>G14*AP14</f>
        <v>0</v>
      </c>
      <c r="BJ14" s="31">
        <f>G14*H14</f>
        <v>0</v>
      </c>
      <c r="BK14" s="31"/>
      <c r="BL14" s="31"/>
      <c r="BW14" s="31">
        <v>21</v>
      </c>
    </row>
    <row r="15" spans="1:13" ht="13.5" customHeight="1">
      <c r="A15" s="60"/>
      <c r="D15" s="123" t="s">
        <v>665</v>
      </c>
      <c r="E15" s="123"/>
      <c r="F15" s="123"/>
      <c r="G15" s="123"/>
      <c r="H15" s="123"/>
      <c r="I15" s="123"/>
      <c r="J15" s="123"/>
      <c r="K15" s="123"/>
      <c r="L15" s="123"/>
      <c r="M15" s="123"/>
    </row>
    <row r="16" spans="1:13" ht="15" customHeight="1">
      <c r="A16" s="65"/>
      <c r="B16" s="66"/>
      <c r="C16" s="66"/>
      <c r="D16" s="67" t="s">
        <v>121</v>
      </c>
      <c r="E16" s="68"/>
      <c r="F16" s="66"/>
      <c r="G16" s="69">
        <v>1</v>
      </c>
      <c r="H16" s="66"/>
      <c r="I16" s="66"/>
      <c r="J16" s="66"/>
      <c r="K16" s="66"/>
      <c r="L16" s="66"/>
      <c r="M16" s="70"/>
    </row>
    <row r="17" ht="15" customHeight="1">
      <c r="I17" s="35">
        <f>ROUND(I13,0)</f>
        <v>0</v>
      </c>
    </row>
    <row r="18" ht="15" customHeight="1">
      <c r="A18" s="17" t="s">
        <v>55</v>
      </c>
    </row>
    <row r="19" spans="1:13" ht="13.5" customHeight="1">
      <c r="A19" s="78" t="s">
        <v>92</v>
      </c>
      <c r="B19" s="78"/>
      <c r="C19" s="78"/>
      <c r="D19" s="78"/>
      <c r="E19" s="78"/>
      <c r="F19" s="78"/>
      <c r="G19" s="78"/>
      <c r="H19" s="78"/>
      <c r="I19" s="78"/>
      <c r="J19" s="78"/>
      <c r="K19" s="78"/>
      <c r="L19" s="78"/>
      <c r="M19" s="78"/>
    </row>
  </sheetData>
  <sheetProtection algorithmName="SHA-512" hashValue="GlyPgvy7USojdMPV53wj3IgfQFnixjZdd5j9S6ODKkeOeH+sRojSksLLywjB6FrC13U5aI1YsT3IUCfj47+mSQ==" saltValue="M2Lanv7VRhfaZ+dB2MpU6Q==" spinCount="100000" sheet="1" objects="1" scenarios="1"/>
  <mergeCells count="33">
    <mergeCell ref="D15:M15"/>
    <mergeCell ref="A19:M19"/>
    <mergeCell ref="D10:E10"/>
    <mergeCell ref="K10:L10"/>
    <mergeCell ref="D11:E11"/>
    <mergeCell ref="D12:E12"/>
    <mergeCell ref="D13:E13"/>
    <mergeCell ref="D14:E14"/>
    <mergeCell ref="A8:C9"/>
    <mergeCell ref="D8:G9"/>
    <mergeCell ref="H8:I9"/>
    <mergeCell ref="J8:J9"/>
    <mergeCell ref="K8:K9"/>
    <mergeCell ref="L8:M9"/>
    <mergeCell ref="A6:C7"/>
    <mergeCell ref="D6:G7"/>
    <mergeCell ref="H6:I7"/>
    <mergeCell ref="J6:J7"/>
    <mergeCell ref="K6:K7"/>
    <mergeCell ref="L6:M7"/>
    <mergeCell ref="A4:C5"/>
    <mergeCell ref="D4:G5"/>
    <mergeCell ref="H4:I5"/>
    <mergeCell ref="J4:J5"/>
    <mergeCell ref="K4:K5"/>
    <mergeCell ref="L4:M5"/>
    <mergeCell ref="A1:M1"/>
    <mergeCell ref="A2:C3"/>
    <mergeCell ref="D2:G3"/>
    <mergeCell ref="H2:I3"/>
    <mergeCell ref="J2:J3"/>
    <mergeCell ref="K2:K3"/>
    <mergeCell ref="L2:M3"/>
  </mergeCells>
  <printOptions/>
  <pageMargins left="0.39375" right="0.39375" top="0.5909722222222222" bottom="0.5909722222222222" header="0.5118110236220472" footer="0.5118110236220472"/>
  <pageSetup fitToHeight="0" fitToWidth="1" horizontalDpi="300" verticalDpi="300"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J151"/>
  <sheetViews>
    <sheetView workbookViewId="0" topLeftCell="A1">
      <selection activeCell="F98" sqref="F98"/>
    </sheetView>
  </sheetViews>
  <sheetFormatPr defaultColWidth="9.33203125" defaultRowHeight="11.25" outlineLevelRow="1"/>
  <cols>
    <col min="1" max="1" width="3.5" style="128" customWidth="1"/>
    <col min="2" max="2" width="12.66015625" style="128" bestFit="1" customWidth="1"/>
    <col min="3" max="3" width="67.16015625" style="128" customWidth="1"/>
    <col min="4" max="4" width="6.33203125" style="128" bestFit="1" customWidth="1"/>
    <col min="5" max="5" width="12.66015625" style="127" bestFit="1" customWidth="1"/>
    <col min="6" max="6" width="11.5" style="126" bestFit="1" customWidth="1"/>
    <col min="7" max="7" width="11.16015625" style="125" bestFit="1" customWidth="1"/>
    <col min="8" max="16384" width="9.33203125" style="124" customWidth="1"/>
  </cols>
  <sheetData>
    <row r="1" spans="1:3" ht="15">
      <c r="A1" s="166" t="s">
        <v>869</v>
      </c>
      <c r="C1" s="168" t="s">
        <v>868</v>
      </c>
    </row>
    <row r="2" spans="1:3" ht="14.25">
      <c r="A2" s="166" t="s">
        <v>867</v>
      </c>
      <c r="B2" s="128" t="s">
        <v>866</v>
      </c>
      <c r="C2" s="167" t="s">
        <v>865</v>
      </c>
    </row>
    <row r="3" ht="12.75" thickBot="1"/>
    <row r="4" spans="1:7" s="160" customFormat="1" ht="12.75" thickBot="1">
      <c r="A4" s="166"/>
      <c r="B4" s="166"/>
      <c r="C4" s="165" t="s">
        <v>864</v>
      </c>
      <c r="D4" s="164"/>
      <c r="E4" s="163"/>
      <c r="F4" s="162"/>
      <c r="G4" s="161"/>
    </row>
    <row r="5" spans="3:7" ht="12.75" thickTop="1">
      <c r="C5" s="158" t="s">
        <v>852</v>
      </c>
      <c r="G5" s="157">
        <f>G23</f>
        <v>0</v>
      </c>
    </row>
    <row r="6" spans="3:7" ht="11.25">
      <c r="C6" s="158" t="s">
        <v>816</v>
      </c>
      <c r="G6" s="157">
        <f>G42</f>
        <v>0</v>
      </c>
    </row>
    <row r="7" spans="3:7" ht="11.25">
      <c r="C7" s="158" t="s">
        <v>784</v>
      </c>
      <c r="G7" s="157">
        <f>G59</f>
        <v>0</v>
      </c>
    </row>
    <row r="8" spans="3:7" ht="11.25">
      <c r="C8" s="158" t="s">
        <v>770</v>
      </c>
      <c r="G8" s="157">
        <f>G68</f>
        <v>0</v>
      </c>
    </row>
    <row r="9" spans="3:7" ht="11.25">
      <c r="C9" s="158" t="s">
        <v>723</v>
      </c>
      <c r="G9" s="157">
        <f>G93</f>
        <v>0</v>
      </c>
    </row>
    <row r="10" spans="3:7" ht="11.25">
      <c r="C10" s="158"/>
      <c r="D10" s="128" t="s">
        <v>863</v>
      </c>
      <c r="G10" s="159">
        <f>SUM(G5:G9)</f>
        <v>0</v>
      </c>
    </row>
    <row r="11" spans="3:7" ht="11.25">
      <c r="C11" s="158"/>
      <c r="G11" s="159"/>
    </row>
    <row r="12" spans="3:7" ht="11.25">
      <c r="C12" s="158"/>
      <c r="G12" s="157">
        <f>G100</f>
        <v>0</v>
      </c>
    </row>
    <row r="13" spans="3:7" ht="11.25">
      <c r="C13" s="158"/>
      <c r="G13" s="157">
        <f>G128</f>
        <v>0</v>
      </c>
    </row>
    <row r="14" spans="3:7" ht="11.25">
      <c r="C14" s="158"/>
      <c r="G14" s="157">
        <f>G151</f>
        <v>0</v>
      </c>
    </row>
    <row r="15" spans="3:7" ht="11.25">
      <c r="C15" s="158"/>
      <c r="D15" s="128" t="s">
        <v>862</v>
      </c>
      <c r="G15" s="159">
        <f>SUM(G12:G14)</f>
        <v>0</v>
      </c>
    </row>
    <row r="16" spans="3:7" ht="11.25">
      <c r="C16" s="158"/>
      <c r="G16" s="157"/>
    </row>
    <row r="17" spans="3:8" ht="11.25">
      <c r="C17" s="158" t="s">
        <v>861</v>
      </c>
      <c r="G17" s="159">
        <f>G15+G10</f>
        <v>0</v>
      </c>
      <c r="H17" s="136"/>
    </row>
    <row r="18" spans="3:7" ht="11.25">
      <c r="C18" s="158"/>
      <c r="G18" s="157">
        <f>G17/100*21</f>
        <v>0</v>
      </c>
    </row>
    <row r="19" spans="1:8" s="148" customFormat="1" ht="16.5" thickBot="1">
      <c r="A19" s="132"/>
      <c r="B19" s="132"/>
      <c r="C19" s="156" t="s">
        <v>860</v>
      </c>
      <c r="D19" s="155"/>
      <c r="E19" s="154"/>
      <c r="F19" s="153"/>
      <c r="G19" s="152">
        <f>G17+G18</f>
        <v>0</v>
      </c>
      <c r="H19" s="151"/>
    </row>
    <row r="20" spans="1:7" s="148" customFormat="1" ht="12.75">
      <c r="A20" s="132"/>
      <c r="B20" s="132"/>
      <c r="C20" s="132"/>
      <c r="D20" s="132"/>
      <c r="E20" s="150"/>
      <c r="F20" s="149"/>
      <c r="G20" s="130"/>
    </row>
    <row r="22" spans="1:7" s="145" customFormat="1" ht="33.75" customHeight="1">
      <c r="A22" s="146" t="s">
        <v>859</v>
      </c>
      <c r="B22" s="146" t="s">
        <v>858</v>
      </c>
      <c r="C22" s="147" t="s">
        <v>857</v>
      </c>
      <c r="D22" s="146" t="s">
        <v>96</v>
      </c>
      <c r="E22" s="146" t="s">
        <v>856</v>
      </c>
      <c r="F22" s="146" t="s">
        <v>855</v>
      </c>
      <c r="G22" s="146" t="s">
        <v>854</v>
      </c>
    </row>
    <row r="23" spans="1:8" s="136" customFormat="1" ht="12.75">
      <c r="A23" s="131" t="s">
        <v>853</v>
      </c>
      <c r="B23" s="131"/>
      <c r="C23" s="131" t="s">
        <v>852</v>
      </c>
      <c r="D23" s="131"/>
      <c r="E23" s="140"/>
      <c r="F23" s="139"/>
      <c r="G23" s="130">
        <f>SUM(G24:G40)</f>
        <v>0</v>
      </c>
      <c r="H23" s="137"/>
    </row>
    <row r="24" spans="1:7" ht="24" outlineLevel="1">
      <c r="A24" s="128" t="s">
        <v>121</v>
      </c>
      <c r="B24" s="135" t="s">
        <v>851</v>
      </c>
      <c r="C24" s="134" t="s">
        <v>850</v>
      </c>
      <c r="D24" s="133" t="s">
        <v>209</v>
      </c>
      <c r="E24" s="127">
        <v>116</v>
      </c>
      <c r="F24" s="169">
        <v>0</v>
      </c>
      <c r="G24" s="125">
        <f>E24*F24</f>
        <v>0</v>
      </c>
    </row>
    <row r="25" spans="1:9" ht="24" outlineLevel="1">
      <c r="A25" s="128" t="s">
        <v>130</v>
      </c>
      <c r="B25" s="135" t="s">
        <v>849</v>
      </c>
      <c r="C25" s="134" t="s">
        <v>848</v>
      </c>
      <c r="D25" s="133" t="s">
        <v>209</v>
      </c>
      <c r="E25" s="127">
        <v>120</v>
      </c>
      <c r="F25" s="169">
        <v>0</v>
      </c>
      <c r="G25" s="125">
        <f aca="true" t="shared" si="0" ref="G25:G40">E25*F25</f>
        <v>0</v>
      </c>
      <c r="I25" s="143"/>
    </row>
    <row r="26" spans="1:7" ht="11.25" outlineLevel="1">
      <c r="A26" s="128" t="s">
        <v>134</v>
      </c>
      <c r="B26" s="135" t="s">
        <v>847</v>
      </c>
      <c r="C26" s="134" t="s">
        <v>846</v>
      </c>
      <c r="D26" s="133" t="s">
        <v>349</v>
      </c>
      <c r="E26" s="127">
        <v>1</v>
      </c>
      <c r="F26" s="169">
        <v>0</v>
      </c>
      <c r="G26" s="125">
        <f t="shared" si="0"/>
        <v>0</v>
      </c>
    </row>
    <row r="27" spans="1:7" ht="11.25" outlineLevel="1">
      <c r="A27" s="128" t="s">
        <v>141</v>
      </c>
      <c r="B27" s="135" t="s">
        <v>845</v>
      </c>
      <c r="C27" s="134" t="s">
        <v>844</v>
      </c>
      <c r="D27" s="133" t="s">
        <v>349</v>
      </c>
      <c r="E27" s="127">
        <v>3</v>
      </c>
      <c r="F27" s="169">
        <v>0</v>
      </c>
      <c r="G27" s="125">
        <f t="shared" si="0"/>
        <v>0</v>
      </c>
    </row>
    <row r="28" spans="1:7" ht="11.25" outlineLevel="1">
      <c r="A28" s="128" t="s">
        <v>146</v>
      </c>
      <c r="B28" s="135" t="s">
        <v>843</v>
      </c>
      <c r="C28" s="134" t="s">
        <v>842</v>
      </c>
      <c r="D28" s="133" t="s">
        <v>349</v>
      </c>
      <c r="E28" s="127">
        <v>29</v>
      </c>
      <c r="F28" s="169">
        <v>0</v>
      </c>
      <c r="G28" s="125">
        <f t="shared" si="0"/>
        <v>0</v>
      </c>
    </row>
    <row r="29" spans="1:7" ht="24" outlineLevel="1">
      <c r="A29" s="128" t="s">
        <v>150</v>
      </c>
      <c r="B29" s="135" t="s">
        <v>841</v>
      </c>
      <c r="C29" s="134" t="s">
        <v>840</v>
      </c>
      <c r="D29" s="133" t="s">
        <v>349</v>
      </c>
      <c r="E29" s="127">
        <v>10</v>
      </c>
      <c r="F29" s="169">
        <v>0</v>
      </c>
      <c r="G29" s="125">
        <f t="shared" si="0"/>
        <v>0</v>
      </c>
    </row>
    <row r="30" spans="1:7" ht="11.25" outlineLevel="1">
      <c r="A30" s="128" t="s">
        <v>154</v>
      </c>
      <c r="B30" s="135" t="s">
        <v>839</v>
      </c>
      <c r="C30" s="134" t="s">
        <v>838</v>
      </c>
      <c r="D30" s="133" t="s">
        <v>349</v>
      </c>
      <c r="E30" s="127">
        <v>7</v>
      </c>
      <c r="F30" s="169">
        <v>0</v>
      </c>
      <c r="G30" s="125">
        <f t="shared" si="0"/>
        <v>0</v>
      </c>
    </row>
    <row r="31" spans="1:10" ht="11.25" outlineLevel="1">
      <c r="A31" s="128" t="s">
        <v>160</v>
      </c>
      <c r="B31" s="135" t="s">
        <v>837</v>
      </c>
      <c r="C31" s="134" t="s">
        <v>836</v>
      </c>
      <c r="D31" s="133" t="s">
        <v>349</v>
      </c>
      <c r="E31" s="127">
        <v>7</v>
      </c>
      <c r="F31" s="169">
        <v>0</v>
      </c>
      <c r="G31" s="125">
        <f t="shared" si="0"/>
        <v>0</v>
      </c>
      <c r="J31" s="143"/>
    </row>
    <row r="32" spans="1:7" ht="11.25" outlineLevel="1">
      <c r="A32" s="128" t="s">
        <v>167</v>
      </c>
      <c r="B32" s="135" t="s">
        <v>835</v>
      </c>
      <c r="C32" s="134" t="s">
        <v>834</v>
      </c>
      <c r="D32" s="133" t="s">
        <v>349</v>
      </c>
      <c r="E32" s="127">
        <v>7</v>
      </c>
      <c r="F32" s="169">
        <v>0</v>
      </c>
      <c r="G32" s="125">
        <f t="shared" si="0"/>
        <v>0</v>
      </c>
    </row>
    <row r="33" spans="1:7" ht="24" outlineLevel="1">
      <c r="A33" s="128" t="s">
        <v>173</v>
      </c>
      <c r="B33" s="135" t="s">
        <v>833</v>
      </c>
      <c r="C33" s="134" t="s">
        <v>832</v>
      </c>
      <c r="D33" s="133" t="s">
        <v>209</v>
      </c>
      <c r="E33" s="127">
        <v>10</v>
      </c>
      <c r="F33" s="169">
        <v>0</v>
      </c>
      <c r="G33" s="125">
        <f t="shared" si="0"/>
        <v>0</v>
      </c>
    </row>
    <row r="34" spans="1:7" ht="11.25" outlineLevel="1">
      <c r="A34" s="128" t="s">
        <v>179</v>
      </c>
      <c r="B34" s="135" t="s">
        <v>831</v>
      </c>
      <c r="C34" s="134" t="s">
        <v>830</v>
      </c>
      <c r="D34" s="133" t="s">
        <v>209</v>
      </c>
      <c r="E34" s="127">
        <v>5</v>
      </c>
      <c r="F34" s="169">
        <v>0</v>
      </c>
      <c r="G34" s="125">
        <f t="shared" si="0"/>
        <v>0</v>
      </c>
    </row>
    <row r="35" spans="1:7" ht="11.25" outlineLevel="1">
      <c r="A35" s="128" t="s">
        <v>184</v>
      </c>
      <c r="B35" s="135" t="s">
        <v>829</v>
      </c>
      <c r="C35" s="134" t="s">
        <v>828</v>
      </c>
      <c r="D35" s="133" t="s">
        <v>449</v>
      </c>
      <c r="E35" s="127">
        <v>1</v>
      </c>
      <c r="F35" s="169">
        <v>0</v>
      </c>
      <c r="G35" s="125">
        <f t="shared" si="0"/>
        <v>0</v>
      </c>
    </row>
    <row r="36" spans="1:8" ht="11.25" outlineLevel="1">
      <c r="A36" s="128" t="s">
        <v>190</v>
      </c>
      <c r="B36" s="135" t="s">
        <v>827</v>
      </c>
      <c r="C36" s="134" t="s">
        <v>826</v>
      </c>
      <c r="D36" s="133" t="s">
        <v>449</v>
      </c>
      <c r="E36" s="127">
        <v>2</v>
      </c>
      <c r="F36" s="169">
        <v>0</v>
      </c>
      <c r="G36" s="125">
        <f t="shared" si="0"/>
        <v>0</v>
      </c>
      <c r="H36" s="143"/>
    </row>
    <row r="37" spans="1:8" ht="11.25" outlineLevel="1">
      <c r="A37" s="128" t="s">
        <v>195</v>
      </c>
      <c r="B37" s="135" t="s">
        <v>825</v>
      </c>
      <c r="C37" s="134" t="s">
        <v>824</v>
      </c>
      <c r="D37" s="133" t="s">
        <v>209</v>
      </c>
      <c r="E37" s="127">
        <v>116</v>
      </c>
      <c r="F37" s="169">
        <v>0</v>
      </c>
      <c r="G37" s="125">
        <f t="shared" si="0"/>
        <v>0</v>
      </c>
      <c r="H37" s="143"/>
    </row>
    <row r="38" spans="1:8" ht="11.25" outlineLevel="1">
      <c r="A38" s="128" t="s">
        <v>200</v>
      </c>
      <c r="B38" s="135" t="s">
        <v>823</v>
      </c>
      <c r="C38" s="134" t="s">
        <v>822</v>
      </c>
      <c r="D38" s="133" t="s">
        <v>821</v>
      </c>
      <c r="E38" s="127">
        <v>8</v>
      </c>
      <c r="F38" s="169">
        <v>0</v>
      </c>
      <c r="G38" s="125">
        <f t="shared" si="0"/>
        <v>0</v>
      </c>
      <c r="H38" s="143"/>
    </row>
    <row r="39" spans="1:8" ht="14.25" customHeight="1" outlineLevel="1">
      <c r="A39" s="128" t="s">
        <v>206</v>
      </c>
      <c r="B39" s="135" t="s">
        <v>820</v>
      </c>
      <c r="C39" s="134" t="s">
        <v>819</v>
      </c>
      <c r="D39" s="133" t="s">
        <v>449</v>
      </c>
      <c r="E39" s="127">
        <v>1</v>
      </c>
      <c r="F39" s="169">
        <v>0</v>
      </c>
      <c r="G39" s="125">
        <f t="shared" si="0"/>
        <v>0</v>
      </c>
      <c r="H39" s="143"/>
    </row>
    <row r="40" spans="2:8" ht="11.25" outlineLevel="1">
      <c r="B40" s="135" t="s">
        <v>718</v>
      </c>
      <c r="C40" s="134" t="s">
        <v>818</v>
      </c>
      <c r="D40" s="133" t="s">
        <v>449</v>
      </c>
      <c r="E40" s="127">
        <v>1</v>
      </c>
      <c r="F40" s="169">
        <v>0</v>
      </c>
      <c r="G40" s="125">
        <f t="shared" si="0"/>
        <v>0</v>
      </c>
      <c r="H40" s="143"/>
    </row>
    <row r="41" spans="2:8" ht="11.25" outlineLevel="1">
      <c r="B41" s="135"/>
      <c r="C41" s="134"/>
      <c r="D41" s="133"/>
      <c r="G41" s="138"/>
      <c r="H41" s="143"/>
    </row>
    <row r="42" spans="1:8" s="136" customFormat="1" ht="12.75">
      <c r="A42" s="131" t="s">
        <v>817</v>
      </c>
      <c r="B42" s="131"/>
      <c r="C42" s="142" t="s">
        <v>816</v>
      </c>
      <c r="D42" s="141"/>
      <c r="E42" s="140"/>
      <c r="F42" s="139"/>
      <c r="G42" s="130">
        <f>SUM(G43:G57)</f>
        <v>0</v>
      </c>
      <c r="H42" s="137"/>
    </row>
    <row r="43" spans="1:8" ht="24" outlineLevel="1">
      <c r="A43" s="128" t="s">
        <v>220</v>
      </c>
      <c r="B43" s="135" t="s">
        <v>815</v>
      </c>
      <c r="C43" s="134" t="s">
        <v>814</v>
      </c>
      <c r="D43" s="133" t="s">
        <v>241</v>
      </c>
      <c r="E43" s="127">
        <v>3</v>
      </c>
      <c r="F43" s="169">
        <v>0</v>
      </c>
      <c r="G43" s="125">
        <f>E43*F43</f>
        <v>0</v>
      </c>
      <c r="H43" s="143"/>
    </row>
    <row r="44" spans="1:7" ht="11.25" outlineLevel="1">
      <c r="A44" s="128" t="s">
        <v>225</v>
      </c>
      <c r="B44" s="135" t="s">
        <v>813</v>
      </c>
      <c r="C44" s="134" t="s">
        <v>812</v>
      </c>
      <c r="D44" s="133" t="s">
        <v>241</v>
      </c>
      <c r="E44" s="127">
        <v>3</v>
      </c>
      <c r="F44" s="169">
        <v>0</v>
      </c>
      <c r="G44" s="125">
        <f aca="true" t="shared" si="1" ref="G44:G57">E44*F44</f>
        <v>0</v>
      </c>
    </row>
    <row r="45" spans="1:9" ht="24" outlineLevel="1">
      <c r="A45" s="128" t="s">
        <v>229</v>
      </c>
      <c r="B45" s="135" t="s">
        <v>811</v>
      </c>
      <c r="C45" s="134" t="s">
        <v>810</v>
      </c>
      <c r="D45" s="133" t="s">
        <v>209</v>
      </c>
      <c r="E45" s="127">
        <v>116</v>
      </c>
      <c r="F45" s="169">
        <v>0</v>
      </c>
      <c r="G45" s="125">
        <f t="shared" si="1"/>
        <v>0</v>
      </c>
      <c r="I45" s="143"/>
    </row>
    <row r="46" spans="1:7" ht="11.25" outlineLevel="1">
      <c r="A46" s="128" t="s">
        <v>234</v>
      </c>
      <c r="B46" s="135" t="s">
        <v>809</v>
      </c>
      <c r="C46" s="134" t="s">
        <v>808</v>
      </c>
      <c r="D46" s="133" t="s">
        <v>209</v>
      </c>
      <c r="E46" s="127">
        <v>116</v>
      </c>
      <c r="F46" s="169">
        <v>0</v>
      </c>
      <c r="G46" s="125">
        <f t="shared" si="1"/>
        <v>0</v>
      </c>
    </row>
    <row r="47" spans="1:7" ht="11.25" outlineLevel="1">
      <c r="A47" s="128" t="s">
        <v>238</v>
      </c>
      <c r="B47" s="135" t="s">
        <v>807</v>
      </c>
      <c r="C47" s="134" t="s">
        <v>806</v>
      </c>
      <c r="D47" s="133" t="s">
        <v>124</v>
      </c>
      <c r="E47" s="127">
        <v>6</v>
      </c>
      <c r="F47" s="169">
        <v>0</v>
      </c>
      <c r="G47" s="125">
        <f t="shared" si="1"/>
        <v>0</v>
      </c>
    </row>
    <row r="48" spans="1:7" ht="11.25" outlineLevel="1">
      <c r="A48" s="128" t="s">
        <v>243</v>
      </c>
      <c r="B48" s="135" t="s">
        <v>805</v>
      </c>
      <c r="C48" s="134" t="s">
        <v>804</v>
      </c>
      <c r="D48" s="133" t="s">
        <v>124</v>
      </c>
      <c r="E48" s="127">
        <v>6</v>
      </c>
      <c r="F48" s="169">
        <v>0</v>
      </c>
      <c r="G48" s="125">
        <f t="shared" si="1"/>
        <v>0</v>
      </c>
    </row>
    <row r="49" spans="1:7" ht="11.25" outlineLevel="1">
      <c r="A49" s="128" t="s">
        <v>247</v>
      </c>
      <c r="B49" s="135" t="s">
        <v>803</v>
      </c>
      <c r="C49" s="134" t="s">
        <v>802</v>
      </c>
      <c r="D49" s="133" t="s">
        <v>124</v>
      </c>
      <c r="E49" s="127">
        <v>6</v>
      </c>
      <c r="F49" s="169">
        <v>0</v>
      </c>
      <c r="G49" s="125">
        <f t="shared" si="1"/>
        <v>0</v>
      </c>
    </row>
    <row r="50" spans="1:7" ht="11.25" outlineLevel="1">
      <c r="A50" s="128" t="s">
        <v>259</v>
      </c>
      <c r="B50" s="135" t="s">
        <v>801</v>
      </c>
      <c r="C50" s="134" t="s">
        <v>800</v>
      </c>
      <c r="D50" s="133" t="s">
        <v>714</v>
      </c>
      <c r="E50" s="127">
        <v>1</v>
      </c>
      <c r="F50" s="169">
        <v>0</v>
      </c>
      <c r="G50" s="125">
        <f t="shared" si="1"/>
        <v>0</v>
      </c>
    </row>
    <row r="51" spans="1:7" ht="11.25" outlineLevel="1">
      <c r="A51" s="128" t="s">
        <v>264</v>
      </c>
      <c r="B51" s="135" t="s">
        <v>799</v>
      </c>
      <c r="C51" s="134" t="s">
        <v>798</v>
      </c>
      <c r="D51" s="133" t="s">
        <v>714</v>
      </c>
      <c r="E51" s="127">
        <v>1</v>
      </c>
      <c r="F51" s="169">
        <v>0</v>
      </c>
      <c r="G51" s="125">
        <f t="shared" si="1"/>
        <v>0</v>
      </c>
    </row>
    <row r="52" spans="1:7" ht="11.25" outlineLevel="1">
      <c r="A52" s="128" t="s">
        <v>270</v>
      </c>
      <c r="B52" s="135" t="s">
        <v>797</v>
      </c>
      <c r="C52" s="134" t="s">
        <v>796</v>
      </c>
      <c r="D52" s="133" t="s">
        <v>124</v>
      </c>
      <c r="E52" s="127">
        <v>10</v>
      </c>
      <c r="F52" s="169">
        <v>0</v>
      </c>
      <c r="G52" s="125">
        <f t="shared" si="1"/>
        <v>0</v>
      </c>
    </row>
    <row r="53" spans="1:7" ht="11.25" outlineLevel="1">
      <c r="A53" s="128" t="s">
        <v>274</v>
      </c>
      <c r="B53" s="135" t="s">
        <v>795</v>
      </c>
      <c r="C53" s="134" t="s">
        <v>794</v>
      </c>
      <c r="D53" s="133" t="s">
        <v>209</v>
      </c>
      <c r="E53" s="127">
        <v>20</v>
      </c>
      <c r="F53" s="169">
        <v>0</v>
      </c>
      <c r="G53" s="125">
        <f t="shared" si="1"/>
        <v>0</v>
      </c>
    </row>
    <row r="54" spans="1:7" ht="11.25" outlineLevel="1">
      <c r="A54" s="128" t="s">
        <v>279</v>
      </c>
      <c r="B54" s="135" t="s">
        <v>793</v>
      </c>
      <c r="C54" s="134" t="s">
        <v>792</v>
      </c>
      <c r="D54" s="133" t="s">
        <v>241</v>
      </c>
      <c r="E54" s="127">
        <v>3</v>
      </c>
      <c r="F54" s="169">
        <v>0</v>
      </c>
      <c r="G54" s="125">
        <f t="shared" si="1"/>
        <v>0</v>
      </c>
    </row>
    <row r="55" spans="1:7" ht="11.25" outlineLevel="1">
      <c r="A55" s="128" t="s">
        <v>283</v>
      </c>
      <c r="B55" s="135" t="s">
        <v>791</v>
      </c>
      <c r="C55" s="134" t="s">
        <v>790</v>
      </c>
      <c r="D55" s="133" t="s">
        <v>124</v>
      </c>
      <c r="E55" s="127">
        <v>10</v>
      </c>
      <c r="F55" s="169">
        <v>0</v>
      </c>
      <c r="G55" s="125">
        <f t="shared" si="1"/>
        <v>0</v>
      </c>
    </row>
    <row r="56" spans="1:7" ht="11.25" outlineLevel="1">
      <c r="A56" s="128" t="s">
        <v>288</v>
      </c>
      <c r="B56" s="135" t="s">
        <v>789</v>
      </c>
      <c r="C56" s="134" t="s">
        <v>788</v>
      </c>
      <c r="D56" s="133" t="s">
        <v>124</v>
      </c>
      <c r="E56" s="127">
        <v>42</v>
      </c>
      <c r="F56" s="169">
        <v>0</v>
      </c>
      <c r="G56" s="125">
        <f t="shared" si="1"/>
        <v>0</v>
      </c>
    </row>
    <row r="57" spans="1:7" ht="11.25" outlineLevel="1">
      <c r="A57" s="128" t="s">
        <v>291</v>
      </c>
      <c r="B57" s="135" t="s">
        <v>787</v>
      </c>
      <c r="C57" s="134" t="s">
        <v>786</v>
      </c>
      <c r="D57" s="133" t="s">
        <v>449</v>
      </c>
      <c r="E57" s="127">
        <v>14</v>
      </c>
      <c r="F57" s="169">
        <v>0</v>
      </c>
      <c r="G57" s="125">
        <f t="shared" si="1"/>
        <v>0</v>
      </c>
    </row>
    <row r="58" spans="2:4" ht="11.25" outlineLevel="1">
      <c r="B58" s="135"/>
      <c r="C58" s="134"/>
      <c r="D58" s="133"/>
    </row>
    <row r="59" spans="1:8" s="136" customFormat="1" ht="12.75">
      <c r="A59" s="131" t="s">
        <v>785</v>
      </c>
      <c r="B59" s="131"/>
      <c r="C59" s="142" t="s">
        <v>784</v>
      </c>
      <c r="D59" s="141"/>
      <c r="E59" s="140"/>
      <c r="F59" s="139"/>
      <c r="G59" s="130">
        <f>SUM(G60:G65)</f>
        <v>0</v>
      </c>
      <c r="H59" s="137"/>
    </row>
    <row r="60" spans="1:7" ht="11.25" outlineLevel="1">
      <c r="A60" s="128" t="s">
        <v>296</v>
      </c>
      <c r="B60" s="135" t="s">
        <v>783</v>
      </c>
      <c r="C60" s="134" t="s">
        <v>782</v>
      </c>
      <c r="D60" s="133" t="s">
        <v>209</v>
      </c>
      <c r="E60" s="127">
        <v>90</v>
      </c>
      <c r="F60" s="169">
        <v>0</v>
      </c>
      <c r="G60" s="125">
        <f>E60*F60</f>
        <v>0</v>
      </c>
    </row>
    <row r="61" spans="1:7" ht="11.25" outlineLevel="1">
      <c r="A61" s="128" t="s">
        <v>301</v>
      </c>
      <c r="B61" s="135" t="s">
        <v>781</v>
      </c>
      <c r="C61" s="134" t="s">
        <v>780</v>
      </c>
      <c r="D61" s="133" t="s">
        <v>449</v>
      </c>
      <c r="E61" s="127">
        <v>3</v>
      </c>
      <c r="F61" s="169">
        <v>0</v>
      </c>
      <c r="G61" s="125">
        <f aca="true" t="shared" si="2" ref="G61:G65">E61*F61</f>
        <v>0</v>
      </c>
    </row>
    <row r="62" spans="1:7" ht="11.25" outlineLevel="1">
      <c r="A62" s="128" t="s">
        <v>304</v>
      </c>
      <c r="B62" s="135" t="s">
        <v>779</v>
      </c>
      <c r="C62" s="134" t="s">
        <v>778</v>
      </c>
      <c r="D62" s="133" t="s">
        <v>449</v>
      </c>
      <c r="E62" s="127">
        <v>10</v>
      </c>
      <c r="F62" s="169">
        <v>0</v>
      </c>
      <c r="G62" s="125">
        <f t="shared" si="2"/>
        <v>0</v>
      </c>
    </row>
    <row r="63" spans="1:7" ht="11.25" outlineLevel="1">
      <c r="A63" s="128" t="s">
        <v>308</v>
      </c>
      <c r="B63" s="135" t="s">
        <v>777</v>
      </c>
      <c r="C63" s="134" t="s">
        <v>776</v>
      </c>
      <c r="D63" s="133" t="s">
        <v>449</v>
      </c>
      <c r="E63" s="127">
        <v>10</v>
      </c>
      <c r="F63" s="169">
        <v>0</v>
      </c>
      <c r="G63" s="125">
        <f t="shared" si="2"/>
        <v>0</v>
      </c>
    </row>
    <row r="64" spans="1:7" ht="11.25" outlineLevel="1">
      <c r="A64" s="128" t="s">
        <v>313</v>
      </c>
      <c r="B64" s="135" t="s">
        <v>775</v>
      </c>
      <c r="C64" s="134" t="s">
        <v>774</v>
      </c>
      <c r="D64" s="133" t="s">
        <v>449</v>
      </c>
      <c r="E64" s="127">
        <v>7</v>
      </c>
      <c r="F64" s="169">
        <v>0</v>
      </c>
      <c r="G64" s="125">
        <f t="shared" si="2"/>
        <v>0</v>
      </c>
    </row>
    <row r="65" spans="1:7" ht="11.25" outlineLevel="1">
      <c r="A65" s="128" t="s">
        <v>316</v>
      </c>
      <c r="B65" s="135" t="s">
        <v>773</v>
      </c>
      <c r="C65" s="134" t="s">
        <v>772</v>
      </c>
      <c r="D65" s="133" t="s">
        <v>449</v>
      </c>
      <c r="E65" s="127">
        <v>1</v>
      </c>
      <c r="F65" s="169">
        <v>0</v>
      </c>
      <c r="G65" s="125">
        <f t="shared" si="2"/>
        <v>0</v>
      </c>
    </row>
    <row r="66" spans="2:4" ht="11.25" outlineLevel="1">
      <c r="B66" s="135"/>
      <c r="C66" s="134"/>
      <c r="D66" s="133"/>
    </row>
    <row r="67" spans="2:5" ht="11.25" outlineLevel="1">
      <c r="B67" s="135"/>
      <c r="C67" s="134"/>
      <c r="D67" s="133" t="s">
        <v>79</v>
      </c>
      <c r="E67" s="127" t="s">
        <v>79</v>
      </c>
    </row>
    <row r="68" spans="1:10" s="136" customFormat="1" ht="12.75">
      <c r="A68" s="131" t="s">
        <v>771</v>
      </c>
      <c r="B68" s="131"/>
      <c r="C68" s="142" t="s">
        <v>770</v>
      </c>
      <c r="D68" s="141"/>
      <c r="E68" s="140"/>
      <c r="F68" s="139"/>
      <c r="G68" s="130">
        <f>SUM(G69:G91)</f>
        <v>0</v>
      </c>
      <c r="H68" s="137"/>
      <c r="J68" s="144"/>
    </row>
    <row r="69" spans="1:7" ht="11.25" outlineLevel="1">
      <c r="A69" s="128" t="s">
        <v>320</v>
      </c>
      <c r="B69" s="135" t="s">
        <v>769</v>
      </c>
      <c r="C69" s="134" t="s">
        <v>768</v>
      </c>
      <c r="D69" s="133" t="s">
        <v>761</v>
      </c>
      <c r="E69" s="127">
        <v>53.3</v>
      </c>
      <c r="F69" s="169">
        <v>0</v>
      </c>
      <c r="G69" s="125">
        <f>E69*F69</f>
        <v>0</v>
      </c>
    </row>
    <row r="70" spans="1:7" ht="11.25" outlineLevel="1">
      <c r="A70" s="128" t="s">
        <v>325</v>
      </c>
      <c r="B70" s="135" t="s">
        <v>767</v>
      </c>
      <c r="C70" s="134" t="s">
        <v>766</v>
      </c>
      <c r="D70" s="133" t="s">
        <v>449</v>
      </c>
      <c r="E70" s="127">
        <v>49</v>
      </c>
      <c r="F70" s="169">
        <v>0</v>
      </c>
      <c r="G70" s="125">
        <f aca="true" t="shared" si="3" ref="G70:G91">E70*F70</f>
        <v>0</v>
      </c>
    </row>
    <row r="71" spans="1:7" ht="11.25" outlineLevel="1">
      <c r="A71" s="128" t="s">
        <v>330</v>
      </c>
      <c r="B71" s="135" t="s">
        <v>765</v>
      </c>
      <c r="C71" s="134" t="s">
        <v>764</v>
      </c>
      <c r="D71" s="133" t="s">
        <v>449</v>
      </c>
      <c r="E71" s="127">
        <v>7</v>
      </c>
      <c r="F71" s="169">
        <v>0</v>
      </c>
      <c r="G71" s="125">
        <f t="shared" si="3"/>
        <v>0</v>
      </c>
    </row>
    <row r="72" spans="1:7" ht="11.25" outlineLevel="1">
      <c r="A72" s="128" t="s">
        <v>337</v>
      </c>
      <c r="B72" s="143">
        <v>35441120</v>
      </c>
      <c r="C72" s="134" t="s">
        <v>763</v>
      </c>
      <c r="D72" s="133" t="s">
        <v>761</v>
      </c>
      <c r="E72" s="127">
        <v>114</v>
      </c>
      <c r="F72" s="169">
        <v>0</v>
      </c>
      <c r="G72" s="125">
        <f t="shared" si="3"/>
        <v>0</v>
      </c>
    </row>
    <row r="73" spans="1:7" ht="11.25" outlineLevel="1">
      <c r="A73" s="128" t="s">
        <v>342</v>
      </c>
      <c r="B73" s="143">
        <v>354441110</v>
      </c>
      <c r="C73" s="134" t="s">
        <v>762</v>
      </c>
      <c r="D73" s="133" t="s">
        <v>761</v>
      </c>
      <c r="E73" s="127">
        <v>6</v>
      </c>
      <c r="F73" s="169">
        <v>0</v>
      </c>
      <c r="G73" s="125">
        <f t="shared" si="3"/>
        <v>0</v>
      </c>
    </row>
    <row r="74" spans="1:7" ht="11.25" outlineLevel="1">
      <c r="A74" s="128" t="s">
        <v>346</v>
      </c>
      <c r="B74" s="135" t="s">
        <v>760</v>
      </c>
      <c r="C74" s="134" t="s">
        <v>759</v>
      </c>
      <c r="D74" s="133" t="s">
        <v>449</v>
      </c>
      <c r="E74" s="127">
        <v>15</v>
      </c>
      <c r="F74" s="169">
        <v>0</v>
      </c>
      <c r="G74" s="125">
        <f t="shared" si="3"/>
        <v>0</v>
      </c>
    </row>
    <row r="75" spans="1:7" ht="11.25" outlineLevel="1">
      <c r="A75" s="128" t="s">
        <v>351</v>
      </c>
      <c r="B75" s="135" t="s">
        <v>758</v>
      </c>
      <c r="C75" s="134" t="s">
        <v>757</v>
      </c>
      <c r="D75" s="133" t="s">
        <v>449</v>
      </c>
      <c r="E75" s="127">
        <v>3</v>
      </c>
      <c r="F75" s="169">
        <v>0</v>
      </c>
      <c r="G75" s="125">
        <f t="shared" si="3"/>
        <v>0</v>
      </c>
    </row>
    <row r="76" spans="1:7" ht="11.25" outlineLevel="1">
      <c r="A76" s="128" t="s">
        <v>355</v>
      </c>
      <c r="B76" s="135" t="s">
        <v>756</v>
      </c>
      <c r="C76" s="134" t="s">
        <v>755</v>
      </c>
      <c r="D76" s="133" t="s">
        <v>449</v>
      </c>
      <c r="E76" s="127">
        <v>7</v>
      </c>
      <c r="F76" s="169">
        <v>0</v>
      </c>
      <c r="G76" s="125">
        <f t="shared" si="3"/>
        <v>0</v>
      </c>
    </row>
    <row r="77" spans="1:7" ht="11.25" outlineLevel="1">
      <c r="A77" s="128" t="s">
        <v>359</v>
      </c>
      <c r="B77" s="135" t="s">
        <v>754</v>
      </c>
      <c r="C77" s="134" t="s">
        <v>753</v>
      </c>
      <c r="D77" s="133" t="s">
        <v>449</v>
      </c>
      <c r="E77" s="127">
        <v>7</v>
      </c>
      <c r="F77" s="169">
        <v>0</v>
      </c>
      <c r="G77" s="125">
        <f t="shared" si="3"/>
        <v>0</v>
      </c>
    </row>
    <row r="78" spans="1:7" ht="11.25" outlineLevel="1">
      <c r="A78" s="128" t="s">
        <v>363</v>
      </c>
      <c r="B78" s="135" t="s">
        <v>752</v>
      </c>
      <c r="C78" s="134" t="s">
        <v>751</v>
      </c>
      <c r="D78" s="133" t="s">
        <v>449</v>
      </c>
      <c r="E78" s="127">
        <v>14</v>
      </c>
      <c r="F78" s="169">
        <v>0</v>
      </c>
      <c r="G78" s="125">
        <f t="shared" si="3"/>
        <v>0</v>
      </c>
    </row>
    <row r="79" spans="1:7" ht="11.25" outlineLevel="1">
      <c r="A79" s="128" t="s">
        <v>367</v>
      </c>
      <c r="B79" s="135" t="s">
        <v>750</v>
      </c>
      <c r="C79" s="134" t="s">
        <v>749</v>
      </c>
      <c r="D79" s="133" t="s">
        <v>449</v>
      </c>
      <c r="E79" s="127">
        <v>3</v>
      </c>
      <c r="F79" s="169">
        <v>0</v>
      </c>
      <c r="G79" s="125">
        <f t="shared" si="3"/>
        <v>0</v>
      </c>
    </row>
    <row r="80" spans="1:7" ht="11.25" outlineLevel="1">
      <c r="A80" s="128" t="s">
        <v>372</v>
      </c>
      <c r="B80" s="135" t="s">
        <v>748</v>
      </c>
      <c r="C80" s="134" t="s">
        <v>747</v>
      </c>
      <c r="D80" s="133" t="s">
        <v>449</v>
      </c>
      <c r="E80" s="127">
        <v>2</v>
      </c>
      <c r="F80" s="169">
        <v>0</v>
      </c>
      <c r="G80" s="125">
        <f t="shared" si="3"/>
        <v>0</v>
      </c>
    </row>
    <row r="81" spans="1:7" ht="11.25" outlineLevel="1">
      <c r="A81" s="128" t="s">
        <v>376</v>
      </c>
      <c r="B81" s="135" t="s">
        <v>746</v>
      </c>
      <c r="C81" s="134" t="s">
        <v>745</v>
      </c>
      <c r="D81" s="133" t="s">
        <v>449</v>
      </c>
      <c r="E81" s="127">
        <v>1</v>
      </c>
      <c r="F81" s="169">
        <v>0</v>
      </c>
      <c r="G81" s="125">
        <f t="shared" si="3"/>
        <v>0</v>
      </c>
    </row>
    <row r="82" spans="1:7" ht="11.25" outlineLevel="1">
      <c r="A82" s="128" t="s">
        <v>381</v>
      </c>
      <c r="B82" s="135" t="s">
        <v>744</v>
      </c>
      <c r="C82" s="134" t="s">
        <v>743</v>
      </c>
      <c r="D82" s="133" t="s">
        <v>449</v>
      </c>
      <c r="E82" s="127">
        <v>1</v>
      </c>
      <c r="F82" s="169">
        <v>0</v>
      </c>
      <c r="G82" s="125">
        <f t="shared" si="3"/>
        <v>0</v>
      </c>
    </row>
    <row r="83" spans="1:7" ht="11.25" outlineLevel="1">
      <c r="A83" s="128" t="s">
        <v>385</v>
      </c>
      <c r="B83" s="135" t="s">
        <v>742</v>
      </c>
      <c r="C83" s="134" t="s">
        <v>741</v>
      </c>
      <c r="D83" s="133" t="s">
        <v>449</v>
      </c>
      <c r="E83" s="127">
        <v>7</v>
      </c>
      <c r="F83" s="169">
        <v>0</v>
      </c>
      <c r="G83" s="125">
        <f t="shared" si="3"/>
        <v>0</v>
      </c>
    </row>
    <row r="84" spans="1:7" ht="11.25" outlineLevel="1">
      <c r="A84" s="128" t="s">
        <v>389</v>
      </c>
      <c r="B84" s="135" t="s">
        <v>740</v>
      </c>
      <c r="C84" s="134" t="s">
        <v>739</v>
      </c>
      <c r="D84" s="133" t="s">
        <v>449</v>
      </c>
      <c r="E84" s="127">
        <v>4</v>
      </c>
      <c r="F84" s="169">
        <v>0</v>
      </c>
      <c r="G84" s="125">
        <f t="shared" si="3"/>
        <v>0</v>
      </c>
    </row>
    <row r="85" spans="1:7" ht="11.25" outlineLevel="1">
      <c r="A85" s="128" t="s">
        <v>393</v>
      </c>
      <c r="B85" s="135" t="s">
        <v>738</v>
      </c>
      <c r="C85" s="134" t="s">
        <v>737</v>
      </c>
      <c r="D85" s="133" t="s">
        <v>449</v>
      </c>
      <c r="E85" s="127">
        <v>38</v>
      </c>
      <c r="F85" s="169">
        <v>0</v>
      </c>
      <c r="G85" s="125">
        <f t="shared" si="3"/>
        <v>0</v>
      </c>
    </row>
    <row r="86" spans="1:7" ht="11.25" outlineLevel="1">
      <c r="A86" s="128" t="s">
        <v>397</v>
      </c>
      <c r="B86" s="135" t="s">
        <v>736</v>
      </c>
      <c r="C86" s="134" t="s">
        <v>735</v>
      </c>
      <c r="D86" s="133" t="s">
        <v>449</v>
      </c>
      <c r="E86" s="127">
        <v>33</v>
      </c>
      <c r="F86" s="169">
        <v>0</v>
      </c>
      <c r="G86" s="125">
        <f t="shared" si="3"/>
        <v>0</v>
      </c>
    </row>
    <row r="87" spans="1:7" ht="11.25" outlineLevel="1">
      <c r="A87" s="128" t="s">
        <v>401</v>
      </c>
      <c r="B87" s="135" t="s">
        <v>734</v>
      </c>
      <c r="C87" s="134" t="s">
        <v>733</v>
      </c>
      <c r="D87" s="133" t="s">
        <v>449</v>
      </c>
      <c r="E87" s="127">
        <v>14</v>
      </c>
      <c r="F87" s="169">
        <v>0</v>
      </c>
      <c r="G87" s="125">
        <f t="shared" si="3"/>
        <v>0</v>
      </c>
    </row>
    <row r="88" spans="1:7" ht="11.25" outlineLevel="1">
      <c r="A88" s="128" t="s">
        <v>405</v>
      </c>
      <c r="B88" s="135" t="s">
        <v>732</v>
      </c>
      <c r="C88" s="134" t="s">
        <v>731</v>
      </c>
      <c r="D88" s="133" t="s">
        <v>449</v>
      </c>
      <c r="E88" s="127">
        <v>7</v>
      </c>
      <c r="F88" s="169">
        <v>0</v>
      </c>
      <c r="G88" s="125">
        <f t="shared" si="3"/>
        <v>0</v>
      </c>
    </row>
    <row r="89" spans="1:7" ht="11.25" outlineLevel="1">
      <c r="A89" s="128" t="s">
        <v>410</v>
      </c>
      <c r="B89" s="135" t="s">
        <v>730</v>
      </c>
      <c r="C89" s="134" t="s">
        <v>729</v>
      </c>
      <c r="D89" s="133" t="s">
        <v>449</v>
      </c>
      <c r="E89" s="127">
        <v>7</v>
      </c>
      <c r="F89" s="169">
        <v>0</v>
      </c>
      <c r="G89" s="125">
        <f t="shared" si="3"/>
        <v>0</v>
      </c>
    </row>
    <row r="90" spans="1:7" ht="11.25" outlineLevel="1">
      <c r="A90" s="128" t="s">
        <v>414</v>
      </c>
      <c r="B90" s="135" t="s">
        <v>728</v>
      </c>
      <c r="C90" s="134" t="s">
        <v>727</v>
      </c>
      <c r="D90" s="133" t="s">
        <v>449</v>
      </c>
      <c r="E90" s="127">
        <v>1</v>
      </c>
      <c r="F90" s="169">
        <v>0</v>
      </c>
      <c r="G90" s="125">
        <f t="shared" si="3"/>
        <v>0</v>
      </c>
    </row>
    <row r="91" spans="1:7" ht="11.25" outlineLevel="1">
      <c r="A91" s="128" t="s">
        <v>119</v>
      </c>
      <c r="B91" s="135" t="s">
        <v>726</v>
      </c>
      <c r="C91" s="134" t="s">
        <v>725</v>
      </c>
      <c r="D91" s="133" t="s">
        <v>449</v>
      </c>
      <c r="E91" s="127">
        <v>2</v>
      </c>
      <c r="F91" s="169">
        <v>0</v>
      </c>
      <c r="G91" s="125">
        <f t="shared" si="3"/>
        <v>0</v>
      </c>
    </row>
    <row r="92" spans="2:4" ht="11.25" outlineLevel="1">
      <c r="B92" s="135"/>
      <c r="C92" s="134"/>
      <c r="D92" s="133"/>
    </row>
    <row r="93" spans="1:8" s="136" customFormat="1" ht="11.25">
      <c r="A93" s="131" t="s">
        <v>724</v>
      </c>
      <c r="B93" s="131"/>
      <c r="C93" s="142" t="s">
        <v>723</v>
      </c>
      <c r="D93" s="141"/>
      <c r="E93" s="140"/>
      <c r="F93" s="139"/>
      <c r="G93" s="138">
        <f>SUM(G94:G97)</f>
        <v>0</v>
      </c>
      <c r="H93" s="137"/>
    </row>
    <row r="94" spans="1:7" ht="11.25" outlineLevel="1">
      <c r="A94" s="128" t="s">
        <v>422</v>
      </c>
      <c r="B94" s="135" t="s">
        <v>722</v>
      </c>
      <c r="C94" s="134" t="s">
        <v>721</v>
      </c>
      <c r="D94" s="133" t="s">
        <v>349</v>
      </c>
      <c r="E94" s="127">
        <v>1</v>
      </c>
      <c r="F94" s="169">
        <v>0</v>
      </c>
      <c r="G94" s="125">
        <f>E94*F94</f>
        <v>0</v>
      </c>
    </row>
    <row r="95" spans="1:7" ht="12" customHeight="1" outlineLevel="1">
      <c r="A95" s="128" t="s">
        <v>139</v>
      </c>
      <c r="B95" s="135" t="s">
        <v>720</v>
      </c>
      <c r="C95" s="134" t="s">
        <v>719</v>
      </c>
      <c r="D95" s="133" t="s">
        <v>449</v>
      </c>
      <c r="E95" s="127">
        <v>2</v>
      </c>
      <c r="F95" s="169">
        <v>0</v>
      </c>
      <c r="G95" s="125">
        <f aca="true" t="shared" si="4" ref="G95:G97">E95*F95</f>
        <v>0</v>
      </c>
    </row>
    <row r="96" spans="1:7" ht="11.25" outlineLevel="1">
      <c r="A96" s="128" t="s">
        <v>439</v>
      </c>
      <c r="B96" s="135" t="s">
        <v>718</v>
      </c>
      <c r="C96" s="134" t="s">
        <v>717</v>
      </c>
      <c r="D96" s="133" t="s">
        <v>349</v>
      </c>
      <c r="E96" s="127">
        <v>1</v>
      </c>
      <c r="F96" s="169">
        <v>0</v>
      </c>
      <c r="G96" s="125">
        <f t="shared" si="4"/>
        <v>0</v>
      </c>
    </row>
    <row r="97" spans="1:7" ht="12" customHeight="1" outlineLevel="1">
      <c r="A97" s="128" t="s">
        <v>442</v>
      </c>
      <c r="B97" s="128" t="s">
        <v>716</v>
      </c>
      <c r="C97" s="128" t="s">
        <v>715</v>
      </c>
      <c r="D97" s="128" t="s">
        <v>714</v>
      </c>
      <c r="E97" s="127">
        <v>1</v>
      </c>
      <c r="F97" s="169">
        <v>0</v>
      </c>
      <c r="G97" s="125">
        <f t="shared" si="4"/>
        <v>0</v>
      </c>
    </row>
    <row r="98" ht="12" customHeight="1" outlineLevel="1"/>
    <row r="99" ht="12" customHeight="1" outlineLevel="1"/>
    <row r="100" spans="1:8" ht="12.75">
      <c r="A100" s="131"/>
      <c r="B100" s="131"/>
      <c r="C100" s="132"/>
      <c r="G100" s="130"/>
      <c r="H100" s="129"/>
    </row>
    <row r="128" spans="3:8" ht="12.75">
      <c r="C128" s="131"/>
      <c r="G128" s="130"/>
      <c r="H128" s="129"/>
    </row>
    <row r="134" ht="11.25">
      <c r="G134" s="126"/>
    </row>
    <row r="135" ht="11.25">
      <c r="G135" s="126"/>
    </row>
    <row r="136" ht="11.25">
      <c r="G136" s="126"/>
    </row>
    <row r="151" spans="3:8" ht="12.75">
      <c r="C151" s="131"/>
      <c r="G151" s="130"/>
      <c r="H151" s="129"/>
    </row>
  </sheetData>
  <sheetProtection algorithmName="SHA-512" hashValue="dGnbU5slLjBfFApNLVwyiioeDhCh69JHkJKdPjhB6TsKePeeNAPT7caYW/BcP3Wj3YnCbndsGCldWPiWzrl4pg==" saltValue="tM4krfbUG17uMfxauy5S3A==" spinCount="100000" sheet="1"/>
  <printOptions gridLines="1"/>
  <pageMargins left="0.3" right="0.17" top="0.17" bottom="0.37" header="0.17" footer="0.17"/>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42"/>
  <sheetViews>
    <sheetView tabSelected="1" showOutlineSymbols="0" workbookViewId="0" topLeftCell="A1">
      <pane ySplit="11" topLeftCell="A12" activePane="bottomLeft" state="frozen"/>
      <selection pane="bottomLeft" activeCell="Q14" sqref="Q14"/>
    </sheetView>
  </sheetViews>
  <sheetFormatPr defaultColWidth="14.16015625" defaultRowHeight="15" customHeight="1"/>
  <cols>
    <col min="1" max="1" width="4.66015625" style="1" customWidth="1"/>
    <col min="2" max="2" width="8.83203125" style="1" customWidth="1"/>
    <col min="3" max="3" width="20.83203125" style="1" customWidth="1"/>
    <col min="4" max="4" width="2.83203125" style="1" customWidth="1"/>
    <col min="5" max="5" width="41.66015625" style="1" customWidth="1"/>
    <col min="6" max="6" width="8.66015625" style="1" customWidth="1"/>
    <col min="7" max="7" width="15" style="1" customWidth="1"/>
    <col min="8" max="8" width="14" style="1" customWidth="1"/>
    <col min="9" max="9" width="18.33203125" style="1" customWidth="1"/>
    <col min="10" max="11" width="13.66015625" style="1" customWidth="1"/>
    <col min="12" max="12" width="15.66015625" style="1" customWidth="1"/>
    <col min="13" max="13" width="14.16015625" style="1" customWidth="1"/>
    <col min="25" max="75" width="14.16015625" style="1" hidden="1" customWidth="1"/>
  </cols>
  <sheetData>
    <row r="1" spans="1:47" ht="54.75" customHeight="1">
      <c r="A1" s="112" t="s">
        <v>666</v>
      </c>
      <c r="B1" s="112"/>
      <c r="C1" s="112"/>
      <c r="D1" s="112"/>
      <c r="E1" s="112"/>
      <c r="F1" s="112"/>
      <c r="G1" s="112"/>
      <c r="H1" s="112"/>
      <c r="I1" s="112"/>
      <c r="J1" s="112"/>
      <c r="K1" s="112"/>
      <c r="L1" s="112"/>
      <c r="M1" s="112"/>
      <c r="AS1" s="36">
        <f>SUM(AJ1:AJ2)</f>
        <v>0</v>
      </c>
      <c r="AT1" s="36">
        <f>SUM(AK1:AK2)</f>
        <v>0</v>
      </c>
      <c r="AU1" s="36">
        <f>SUM(AL1:AL2)</f>
        <v>0</v>
      </c>
    </row>
    <row r="2" spans="1:13" ht="15" customHeight="1">
      <c r="A2" s="73" t="s">
        <v>1</v>
      </c>
      <c r="B2" s="73"/>
      <c r="C2" s="73"/>
      <c r="D2" s="74" t="str">
        <f>'Stavební rozpočet'!D2</f>
        <v>OPRAVA STŘECHY OBJEKTU UBYTOVNY SESTER Č.P. 506 - ODBORNÝ LÉČEBNÝ ÚSTAV JEVÍČKO</v>
      </c>
      <c r="E2" s="74"/>
      <c r="F2" s="74"/>
      <c r="G2" s="74"/>
      <c r="H2" s="118" t="s">
        <v>77</v>
      </c>
      <c r="I2" s="118"/>
      <c r="J2" s="75" t="str">
        <f>'Stavební rozpočet'!H2</f>
        <v xml:space="preserve"> </v>
      </c>
      <c r="K2" s="75" t="s">
        <v>2</v>
      </c>
      <c r="L2" s="113" t="str">
        <f>'Stavební rozpočet'!J2</f>
        <v>Pardubický kraj, Komenského nám. 125, Pardubice</v>
      </c>
      <c r="M2" s="113"/>
    </row>
    <row r="3" spans="1:13" ht="15" customHeight="1">
      <c r="A3" s="73"/>
      <c r="B3" s="73"/>
      <c r="C3" s="73"/>
      <c r="D3" s="74"/>
      <c r="E3" s="74"/>
      <c r="F3" s="74"/>
      <c r="G3" s="74"/>
      <c r="H3" s="118"/>
      <c r="I3" s="118"/>
      <c r="J3" s="75"/>
      <c r="K3" s="75"/>
      <c r="L3" s="75"/>
      <c r="M3" s="113"/>
    </row>
    <row r="4" spans="1:13" ht="15" customHeight="1">
      <c r="A4" s="77" t="s">
        <v>4</v>
      </c>
      <c r="B4" s="77"/>
      <c r="C4" s="77"/>
      <c r="D4" s="78" t="str">
        <f>'Stavební rozpočet'!D4</f>
        <v xml:space="preserve"> </v>
      </c>
      <c r="E4" s="78"/>
      <c r="F4" s="78"/>
      <c r="G4" s="78"/>
      <c r="H4" s="80" t="s">
        <v>8</v>
      </c>
      <c r="I4" s="80"/>
      <c r="J4" s="78" t="str">
        <f>'Stavební rozpočet'!H4</f>
        <v>17.01.2024</v>
      </c>
      <c r="K4" s="78" t="s">
        <v>5</v>
      </c>
      <c r="L4" s="114" t="str">
        <f>'Stavební rozpočet'!J4</f>
        <v> </v>
      </c>
      <c r="M4" s="114"/>
    </row>
    <row r="5" spans="1:13" ht="15" customHeight="1">
      <c r="A5" s="77"/>
      <c r="B5" s="77"/>
      <c r="C5" s="77"/>
      <c r="D5" s="78"/>
      <c r="E5" s="78"/>
      <c r="F5" s="78"/>
      <c r="G5" s="78"/>
      <c r="H5" s="80"/>
      <c r="I5" s="80"/>
      <c r="J5" s="78"/>
      <c r="K5" s="78"/>
      <c r="L5" s="78"/>
      <c r="M5" s="114"/>
    </row>
    <row r="6" spans="1:13" ht="15" customHeight="1">
      <c r="A6" s="77" t="s">
        <v>6</v>
      </c>
      <c r="B6" s="77"/>
      <c r="C6" s="77"/>
      <c r="D6" s="78" t="str">
        <f>'Stavební rozpočet'!D6</f>
        <v xml:space="preserve"> </v>
      </c>
      <c r="E6" s="78"/>
      <c r="F6" s="78"/>
      <c r="G6" s="78"/>
      <c r="H6" s="80" t="s">
        <v>9</v>
      </c>
      <c r="I6" s="80"/>
      <c r="J6" s="78" t="str">
        <f>'Stavební rozpočet'!H6</f>
        <v xml:space="preserve"> </v>
      </c>
      <c r="K6" s="78" t="s">
        <v>7</v>
      </c>
      <c r="L6" s="114" t="str">
        <f>'Stavební rozpočet'!J6</f>
        <v> </v>
      </c>
      <c r="M6" s="114"/>
    </row>
    <row r="7" spans="1:13" ht="15" customHeight="1">
      <c r="A7" s="77"/>
      <c r="B7" s="77"/>
      <c r="C7" s="77"/>
      <c r="D7" s="78"/>
      <c r="E7" s="78"/>
      <c r="F7" s="78"/>
      <c r="G7" s="78"/>
      <c r="H7" s="80"/>
      <c r="I7" s="80"/>
      <c r="J7" s="78"/>
      <c r="K7" s="78"/>
      <c r="L7" s="78"/>
      <c r="M7" s="114"/>
    </row>
    <row r="8" spans="1:13" ht="15" customHeight="1">
      <c r="A8" s="77" t="s">
        <v>11</v>
      </c>
      <c r="B8" s="77"/>
      <c r="C8" s="77"/>
      <c r="D8" s="78" t="str">
        <f>'Stavební rozpočet'!D8</f>
        <v xml:space="preserve"> </v>
      </c>
      <c r="E8" s="78"/>
      <c r="F8" s="78"/>
      <c r="G8" s="78"/>
      <c r="H8" s="80" t="s">
        <v>78</v>
      </c>
      <c r="I8" s="80"/>
      <c r="J8" s="78" t="str">
        <f>'Stavební rozpočet'!H8</f>
        <v>17.01.2024</v>
      </c>
      <c r="K8" s="78" t="s">
        <v>12</v>
      </c>
      <c r="L8" s="114" t="str">
        <f>'Stavební rozpočet'!J8</f>
        <v>Martin Černý,DiS.</v>
      </c>
      <c r="M8" s="114"/>
    </row>
    <row r="9" spans="1:13" ht="15" customHeight="1">
      <c r="A9" s="77"/>
      <c r="B9" s="77"/>
      <c r="C9" s="77"/>
      <c r="D9" s="78"/>
      <c r="E9" s="78"/>
      <c r="F9" s="78"/>
      <c r="G9" s="78"/>
      <c r="H9" s="80"/>
      <c r="I9" s="80"/>
      <c r="J9" s="78"/>
      <c r="K9" s="78"/>
      <c r="L9" s="78"/>
      <c r="M9" s="114"/>
    </row>
    <row r="10" spans="1:75" ht="15" customHeight="1">
      <c r="A10" s="37" t="s">
        <v>94</v>
      </c>
      <c r="B10" s="38" t="s">
        <v>82</v>
      </c>
      <c r="C10" s="38" t="s">
        <v>95</v>
      </c>
      <c r="D10" s="119" t="s">
        <v>83</v>
      </c>
      <c r="E10" s="119"/>
      <c r="F10" s="38" t="s">
        <v>96</v>
      </c>
      <c r="G10" s="39" t="s">
        <v>97</v>
      </c>
      <c r="H10" s="40" t="s">
        <v>98</v>
      </c>
      <c r="I10" s="26" t="s">
        <v>80</v>
      </c>
      <c r="J10" s="120" t="s">
        <v>81</v>
      </c>
      <c r="K10" s="120"/>
      <c r="L10" s="26" t="s">
        <v>99</v>
      </c>
      <c r="M10" s="64"/>
      <c r="BK10" s="42" t="s">
        <v>100</v>
      </c>
      <c r="BL10" s="43" t="s">
        <v>101</v>
      </c>
      <c r="BW10" s="43" t="s">
        <v>102</v>
      </c>
    </row>
    <row r="11" spans="1:62" ht="15" customHeight="1">
      <c r="A11" s="44" t="s">
        <v>79</v>
      </c>
      <c r="B11" s="45" t="s">
        <v>79</v>
      </c>
      <c r="C11" s="45" t="s">
        <v>79</v>
      </c>
      <c r="D11" s="116" t="s">
        <v>103</v>
      </c>
      <c r="E11" s="116"/>
      <c r="F11" s="45" t="s">
        <v>79</v>
      </c>
      <c r="G11" s="45" t="s">
        <v>79</v>
      </c>
      <c r="H11" s="46" t="s">
        <v>104</v>
      </c>
      <c r="I11" s="29" t="s">
        <v>84</v>
      </c>
      <c r="J11" s="46" t="s">
        <v>105</v>
      </c>
      <c r="K11" s="47" t="s">
        <v>84</v>
      </c>
      <c r="L11" s="71" t="s">
        <v>106</v>
      </c>
      <c r="M11" s="64"/>
      <c r="Z11" s="42" t="s">
        <v>107</v>
      </c>
      <c r="AA11" s="42" t="s">
        <v>108</v>
      </c>
      <c r="AB11" s="42" t="s">
        <v>109</v>
      </c>
      <c r="AC11" s="42" t="s">
        <v>110</v>
      </c>
      <c r="AD11" s="42" t="s">
        <v>111</v>
      </c>
      <c r="AE11" s="42" t="s">
        <v>112</v>
      </c>
      <c r="AF11" s="42" t="s">
        <v>113</v>
      </c>
      <c r="AG11" s="42" t="s">
        <v>114</v>
      </c>
      <c r="AH11" s="42" t="s">
        <v>115</v>
      </c>
      <c r="BH11" s="42" t="s">
        <v>116</v>
      </c>
      <c r="BI11" s="42" t="s">
        <v>117</v>
      </c>
      <c r="BJ11" s="42" t="s">
        <v>118</v>
      </c>
    </row>
    <row r="12" spans="1:13" ht="15" customHeight="1">
      <c r="A12" s="49"/>
      <c r="B12" s="50" t="s">
        <v>90</v>
      </c>
      <c r="C12" s="50"/>
      <c r="D12" s="121" t="s">
        <v>90</v>
      </c>
      <c r="E12" s="121"/>
      <c r="F12" s="51" t="s">
        <v>79</v>
      </c>
      <c r="G12" s="51" t="s">
        <v>79</v>
      </c>
      <c r="H12" s="51" t="s">
        <v>79</v>
      </c>
      <c r="I12" s="52">
        <f>I14+I21+I25+I29+I36</f>
        <v>0</v>
      </c>
      <c r="J12" s="53"/>
      <c r="K12" s="52">
        <f>K14+K21+K25+K29+K36</f>
        <v>0</v>
      </c>
      <c r="L12" s="53"/>
      <c r="M12" s="64"/>
    </row>
    <row r="13" spans="1:35" ht="23.85" customHeight="1">
      <c r="A13" s="55"/>
      <c r="B13" s="56" t="s">
        <v>90</v>
      </c>
      <c r="C13" s="56"/>
      <c r="D13" s="122" t="s">
        <v>667</v>
      </c>
      <c r="E13" s="122"/>
      <c r="F13" s="57" t="s">
        <v>79</v>
      </c>
      <c r="G13" s="57" t="s">
        <v>79</v>
      </c>
      <c r="H13" s="57" t="s">
        <v>79</v>
      </c>
      <c r="I13" s="36">
        <f>I14+I21+I25+I29+I36</f>
        <v>0</v>
      </c>
      <c r="J13" s="42"/>
      <c r="K13" s="36">
        <f>K14+K21+K25+K29+K36</f>
        <v>0</v>
      </c>
      <c r="L13" s="42"/>
      <c r="M13" s="64"/>
      <c r="AI13" s="42" t="s">
        <v>90</v>
      </c>
    </row>
    <row r="14" spans="1:47" ht="30" customHeight="1">
      <c r="A14" s="55"/>
      <c r="B14" s="56" t="s">
        <v>90</v>
      </c>
      <c r="C14" s="56" t="s">
        <v>668</v>
      </c>
      <c r="D14" s="122" t="s">
        <v>68</v>
      </c>
      <c r="E14" s="122"/>
      <c r="F14" s="57" t="s">
        <v>79</v>
      </c>
      <c r="G14" s="57" t="s">
        <v>79</v>
      </c>
      <c r="H14" s="57" t="s">
        <v>79</v>
      </c>
      <c r="I14" s="36">
        <f>SUM(I15:I18)</f>
        <v>0</v>
      </c>
      <c r="J14" s="42"/>
      <c r="K14" s="36">
        <f>SUM(K15:K18)</f>
        <v>0</v>
      </c>
      <c r="L14" s="42"/>
      <c r="M14" s="64"/>
      <c r="AI14" s="42" t="s">
        <v>90</v>
      </c>
      <c r="AS14" s="36">
        <f>SUM(AJ15:AJ18)</f>
        <v>0</v>
      </c>
      <c r="AT14" s="36">
        <f>SUM(AK15:AK18)</f>
        <v>0</v>
      </c>
      <c r="AU14" s="36">
        <f>SUM(AL15:AL18)</f>
        <v>0</v>
      </c>
    </row>
    <row r="15" spans="1:75" ht="13.5" customHeight="1">
      <c r="A15" s="30" t="s">
        <v>121</v>
      </c>
      <c r="B15" s="3" t="s">
        <v>90</v>
      </c>
      <c r="C15" s="3" t="s">
        <v>669</v>
      </c>
      <c r="D15" s="78" t="s">
        <v>68</v>
      </c>
      <c r="E15" s="78"/>
      <c r="F15" s="3" t="s">
        <v>670</v>
      </c>
      <c r="G15" s="31">
        <f>'Stavební rozpočet'!G313</f>
        <v>1</v>
      </c>
      <c r="H15" s="170">
        <v>0</v>
      </c>
      <c r="I15" s="31">
        <f>G15*H15</f>
        <v>0</v>
      </c>
      <c r="J15" s="31">
        <f>'Stavební rozpočet'!J313</f>
        <v>0</v>
      </c>
      <c r="K15" s="31">
        <f>G15*J15</f>
        <v>0</v>
      </c>
      <c r="L15" s="32"/>
      <c r="M15" s="64"/>
      <c r="Z15" s="31">
        <f>IF(AQ15="5",BJ15,0)</f>
        <v>0</v>
      </c>
      <c r="AB15" s="31">
        <f>IF(AQ15="1",BH15,0)</f>
        <v>0</v>
      </c>
      <c r="AC15" s="31">
        <f>IF(AQ15="1",BI15,0)</f>
        <v>0</v>
      </c>
      <c r="AD15" s="31">
        <f>IF(AQ15="7",BH15,0)</f>
        <v>0</v>
      </c>
      <c r="AE15" s="31">
        <f>IF(AQ15="7",BI15,0)</f>
        <v>0</v>
      </c>
      <c r="AF15" s="31">
        <f>IF(AQ15="2",BH15,0)</f>
        <v>0</v>
      </c>
      <c r="AG15" s="31">
        <f>IF(AQ15="2",BI15,0)</f>
        <v>0</v>
      </c>
      <c r="AH15" s="31">
        <f>IF(AQ15="0",BJ15,0)</f>
        <v>0</v>
      </c>
      <c r="AI15" s="42" t="s">
        <v>90</v>
      </c>
      <c r="AJ15" s="31">
        <f>IF(AN15=0,I15,0)</f>
        <v>0</v>
      </c>
      <c r="AK15" s="31">
        <f>IF(AN15=12,I15,0)</f>
        <v>0</v>
      </c>
      <c r="AL15" s="31">
        <f>IF(AN15=21,I15,0)</f>
        <v>0</v>
      </c>
      <c r="AN15" s="31">
        <v>21</v>
      </c>
      <c r="AO15" s="31">
        <f>H15*0</f>
        <v>0</v>
      </c>
      <c r="AP15" s="31">
        <f>H15*(1-0)</f>
        <v>0</v>
      </c>
      <c r="AQ15" s="32" t="s">
        <v>606</v>
      </c>
      <c r="AV15" s="31">
        <f>AW15+AX15</f>
        <v>0</v>
      </c>
      <c r="AW15" s="31">
        <f>G15*AO15</f>
        <v>0</v>
      </c>
      <c r="AX15" s="31">
        <f>G15*AP15</f>
        <v>0</v>
      </c>
      <c r="AY15" s="32" t="s">
        <v>671</v>
      </c>
      <c r="AZ15" s="32" t="s">
        <v>672</v>
      </c>
      <c r="BA15" s="42" t="s">
        <v>673</v>
      </c>
      <c r="BC15" s="31">
        <f>AW15+AX15</f>
        <v>0</v>
      </c>
      <c r="BD15" s="31">
        <f>H15/(100-BE15)*100</f>
        <v>0</v>
      </c>
      <c r="BE15" s="31">
        <v>0</v>
      </c>
      <c r="BF15" s="31">
        <f>K15</f>
        <v>0</v>
      </c>
      <c r="BH15" s="31">
        <f>G15*AO15</f>
        <v>0</v>
      </c>
      <c r="BI15" s="31">
        <f>G15*AP15</f>
        <v>0</v>
      </c>
      <c r="BJ15" s="31">
        <f>G15*H15</f>
        <v>0</v>
      </c>
      <c r="BK15" s="31"/>
      <c r="BL15" s="31"/>
      <c r="BM15" s="31">
        <f>G15*H15</f>
        <v>0</v>
      </c>
      <c r="BW15" s="31">
        <v>21</v>
      </c>
    </row>
    <row r="16" spans="1:13" ht="27" customHeight="1">
      <c r="A16" s="60"/>
      <c r="D16" s="123" t="s">
        <v>674</v>
      </c>
      <c r="E16" s="123"/>
      <c r="F16" s="123"/>
      <c r="G16" s="123"/>
      <c r="H16" s="123"/>
      <c r="I16" s="123"/>
      <c r="J16" s="123"/>
      <c r="K16" s="123"/>
      <c r="L16" s="123"/>
      <c r="M16" s="123"/>
    </row>
    <row r="17" spans="1:13" ht="15" customHeight="1">
      <c r="A17" s="60"/>
      <c r="D17" s="61" t="s">
        <v>121</v>
      </c>
      <c r="E17" s="62"/>
      <c r="G17" s="63">
        <v>1</v>
      </c>
      <c r="M17" s="64"/>
    </row>
    <row r="18" spans="1:75" ht="13.5" customHeight="1">
      <c r="A18" s="30" t="s">
        <v>130</v>
      </c>
      <c r="B18" s="3" t="s">
        <v>90</v>
      </c>
      <c r="C18" s="3" t="s">
        <v>675</v>
      </c>
      <c r="D18" s="78" t="s">
        <v>676</v>
      </c>
      <c r="E18" s="78"/>
      <c r="F18" s="3" t="s">
        <v>670</v>
      </c>
      <c r="G18" s="31">
        <f>'Stavební rozpočet'!G315</f>
        <v>1</v>
      </c>
      <c r="H18" s="172">
        <v>0</v>
      </c>
      <c r="I18" s="31">
        <f>G18*H18</f>
        <v>0</v>
      </c>
      <c r="J18" s="31">
        <f>'Stavební rozpočet'!J315</f>
        <v>0</v>
      </c>
      <c r="K18" s="31">
        <f>G18*J18</f>
        <v>0</v>
      </c>
      <c r="L18" s="32"/>
      <c r="M18" s="64"/>
      <c r="Z18" s="31">
        <f>IF(AQ18="5",BJ18,0)</f>
        <v>0</v>
      </c>
      <c r="AB18" s="31">
        <f>IF(AQ18="1",BH18,0)</f>
        <v>0</v>
      </c>
      <c r="AC18" s="31">
        <f>IF(AQ18="1",BI18,0)</f>
        <v>0</v>
      </c>
      <c r="AD18" s="31">
        <f>IF(AQ18="7",BH18,0)</f>
        <v>0</v>
      </c>
      <c r="AE18" s="31">
        <f>IF(AQ18="7",BI18,0)</f>
        <v>0</v>
      </c>
      <c r="AF18" s="31">
        <f>IF(AQ18="2",BH18,0)</f>
        <v>0</v>
      </c>
      <c r="AG18" s="31">
        <f>IF(AQ18="2",BI18,0)</f>
        <v>0</v>
      </c>
      <c r="AH18" s="31">
        <f>IF(AQ18="0",BJ18,0)</f>
        <v>0</v>
      </c>
      <c r="AI18" s="42" t="s">
        <v>90</v>
      </c>
      <c r="AJ18" s="31">
        <f>IF(AN18=0,I18,0)</f>
        <v>0</v>
      </c>
      <c r="AK18" s="31">
        <f>IF(AN18=12,I18,0)</f>
        <v>0</v>
      </c>
      <c r="AL18" s="31">
        <f>IF(AN18=21,I18,0)</f>
        <v>0</v>
      </c>
      <c r="AN18" s="31">
        <v>21</v>
      </c>
      <c r="AO18" s="31">
        <f>H18*0</f>
        <v>0</v>
      </c>
      <c r="AP18" s="31">
        <f>H18*(1-0)</f>
        <v>0</v>
      </c>
      <c r="AQ18" s="32" t="s">
        <v>606</v>
      </c>
      <c r="AV18" s="31">
        <f>AW18+AX18</f>
        <v>0</v>
      </c>
      <c r="AW18" s="31">
        <f>G18*AO18</f>
        <v>0</v>
      </c>
      <c r="AX18" s="31">
        <f>G18*AP18</f>
        <v>0</v>
      </c>
      <c r="AY18" s="32" t="s">
        <v>671</v>
      </c>
      <c r="AZ18" s="32" t="s">
        <v>672</v>
      </c>
      <c r="BA18" s="42" t="s">
        <v>673</v>
      </c>
      <c r="BC18" s="31">
        <f>AW18+AX18</f>
        <v>0</v>
      </c>
      <c r="BD18" s="31">
        <f>H18/(100-BE18)*100</f>
        <v>0</v>
      </c>
      <c r="BE18" s="31">
        <v>0</v>
      </c>
      <c r="BF18" s="31">
        <f>K18</f>
        <v>0</v>
      </c>
      <c r="BH18" s="31">
        <f>G18*AO18</f>
        <v>0</v>
      </c>
      <c r="BI18" s="31">
        <f>G18*AP18</f>
        <v>0</v>
      </c>
      <c r="BJ18" s="31">
        <f>G18*H18</f>
        <v>0</v>
      </c>
      <c r="BK18" s="31"/>
      <c r="BL18" s="31"/>
      <c r="BM18" s="31">
        <f>G18*H18</f>
        <v>0</v>
      </c>
      <c r="BW18" s="31">
        <v>21</v>
      </c>
    </row>
    <row r="19" spans="1:13" ht="27" customHeight="1">
      <c r="A19" s="60"/>
      <c r="D19" s="123" t="s">
        <v>677</v>
      </c>
      <c r="E19" s="123"/>
      <c r="F19" s="123"/>
      <c r="G19" s="123"/>
      <c r="H19" s="123"/>
      <c r="I19" s="123"/>
      <c r="J19" s="123"/>
      <c r="K19" s="123"/>
      <c r="L19" s="123"/>
      <c r="M19" s="123"/>
    </row>
    <row r="20" spans="1:13" ht="15" customHeight="1">
      <c r="A20" s="60"/>
      <c r="D20" s="61" t="s">
        <v>121</v>
      </c>
      <c r="E20" s="62"/>
      <c r="G20" s="63">
        <v>1</v>
      </c>
      <c r="M20" s="64"/>
    </row>
    <row r="21" spans="1:47" ht="15" customHeight="1">
      <c r="A21" s="55"/>
      <c r="B21" s="56" t="s">
        <v>90</v>
      </c>
      <c r="C21" s="56" t="s">
        <v>678</v>
      </c>
      <c r="D21" s="122" t="s">
        <v>24</v>
      </c>
      <c r="E21" s="122"/>
      <c r="F21" s="57" t="s">
        <v>79</v>
      </c>
      <c r="G21" s="57" t="s">
        <v>79</v>
      </c>
      <c r="H21" s="57" t="s">
        <v>79</v>
      </c>
      <c r="I21" s="36">
        <f>SUM(I22:I22)</f>
        <v>0</v>
      </c>
      <c r="J21" s="42"/>
      <c r="K21" s="36">
        <f>SUM(K22:K22)</f>
        <v>0</v>
      </c>
      <c r="L21" s="42"/>
      <c r="M21" s="64"/>
      <c r="AI21" s="42" t="s">
        <v>90</v>
      </c>
      <c r="AS21" s="36">
        <f>SUM(AJ22:AJ22)</f>
        <v>0</v>
      </c>
      <c r="AT21" s="36">
        <f>SUM(AK22:AK22)</f>
        <v>0</v>
      </c>
      <c r="AU21" s="36">
        <f>SUM(AL22:AL22)</f>
        <v>0</v>
      </c>
    </row>
    <row r="22" spans="1:75" ht="13.5" customHeight="1">
      <c r="A22" s="30" t="s">
        <v>134</v>
      </c>
      <c r="B22" s="3" t="s">
        <v>90</v>
      </c>
      <c r="C22" s="3" t="s">
        <v>679</v>
      </c>
      <c r="D22" s="78" t="s">
        <v>24</v>
      </c>
      <c r="E22" s="78"/>
      <c r="F22" s="3" t="s">
        <v>670</v>
      </c>
      <c r="G22" s="31">
        <f>'Stavební rozpočet'!G318</f>
        <v>1</v>
      </c>
      <c r="H22" s="170">
        <v>0</v>
      </c>
      <c r="I22" s="31">
        <f>G22*H22</f>
        <v>0</v>
      </c>
      <c r="J22" s="31">
        <f>'Stavební rozpočet'!J318</f>
        <v>0</v>
      </c>
      <c r="K22" s="31">
        <f>G22*J22</f>
        <v>0</v>
      </c>
      <c r="L22" s="32"/>
      <c r="M22" s="64"/>
      <c r="Z22" s="31">
        <f>IF(AQ22="5",BJ22,0)</f>
        <v>0</v>
      </c>
      <c r="AB22" s="31">
        <f>IF(AQ22="1",BH22,0)</f>
        <v>0</v>
      </c>
      <c r="AC22" s="31">
        <f>IF(AQ22="1",BI22,0)</f>
        <v>0</v>
      </c>
      <c r="AD22" s="31">
        <f>IF(AQ22="7",BH22,0)</f>
        <v>0</v>
      </c>
      <c r="AE22" s="31">
        <f>IF(AQ22="7",BI22,0)</f>
        <v>0</v>
      </c>
      <c r="AF22" s="31">
        <f>IF(AQ22="2",BH22,0)</f>
        <v>0</v>
      </c>
      <c r="AG22" s="31">
        <f>IF(AQ22="2",BI22,0)</f>
        <v>0</v>
      </c>
      <c r="AH22" s="31">
        <f>IF(AQ22="0",BJ22,0)</f>
        <v>0</v>
      </c>
      <c r="AI22" s="42" t="s">
        <v>90</v>
      </c>
      <c r="AJ22" s="31">
        <f>IF(AN22=0,I22,0)</f>
        <v>0</v>
      </c>
      <c r="AK22" s="31">
        <f>IF(AN22=12,I22,0)</f>
        <v>0</v>
      </c>
      <c r="AL22" s="31">
        <f>IF(AN22=21,I22,0)</f>
        <v>0</v>
      </c>
      <c r="AN22" s="31">
        <v>21</v>
      </c>
      <c r="AO22" s="31">
        <f>H22*0</f>
        <v>0</v>
      </c>
      <c r="AP22" s="31">
        <f>H22*(1-0)</f>
        <v>0</v>
      </c>
      <c r="AQ22" s="32" t="s">
        <v>606</v>
      </c>
      <c r="AV22" s="31">
        <f>AW22+AX22</f>
        <v>0</v>
      </c>
      <c r="AW22" s="31">
        <f>G22*AO22</f>
        <v>0</v>
      </c>
      <c r="AX22" s="31">
        <f>G22*AP22</f>
        <v>0</v>
      </c>
      <c r="AY22" s="32" t="s">
        <v>680</v>
      </c>
      <c r="AZ22" s="32" t="s">
        <v>672</v>
      </c>
      <c r="BA22" s="42" t="s">
        <v>673</v>
      </c>
      <c r="BC22" s="31">
        <f>AW22+AX22</f>
        <v>0</v>
      </c>
      <c r="BD22" s="31">
        <f>H22/(100-BE22)*100</f>
        <v>0</v>
      </c>
      <c r="BE22" s="31">
        <v>0</v>
      </c>
      <c r="BF22" s="31">
        <f>K22</f>
        <v>0</v>
      </c>
      <c r="BH22" s="31">
        <f>G22*AO22</f>
        <v>0</v>
      </c>
      <c r="BI22" s="31">
        <f>G22*AP22</f>
        <v>0</v>
      </c>
      <c r="BJ22" s="31">
        <f>G22*H22</f>
        <v>0</v>
      </c>
      <c r="BK22" s="31"/>
      <c r="BL22" s="31"/>
      <c r="BO22" s="31">
        <f>G22*H22</f>
        <v>0</v>
      </c>
      <c r="BW22" s="31">
        <v>21</v>
      </c>
    </row>
    <row r="23" spans="1:13" ht="175.5" customHeight="1">
      <c r="A23" s="60"/>
      <c r="D23" s="123" t="s">
        <v>681</v>
      </c>
      <c r="E23" s="123"/>
      <c r="F23" s="123"/>
      <c r="G23" s="123"/>
      <c r="H23" s="123"/>
      <c r="I23" s="123"/>
      <c r="J23" s="123"/>
      <c r="K23" s="123"/>
      <c r="L23" s="123"/>
      <c r="M23" s="123"/>
    </row>
    <row r="24" spans="1:13" ht="15" customHeight="1">
      <c r="A24" s="60"/>
      <c r="D24" s="61" t="s">
        <v>121</v>
      </c>
      <c r="E24" s="62"/>
      <c r="G24" s="63">
        <v>1</v>
      </c>
      <c r="M24" s="64"/>
    </row>
    <row r="25" spans="1:47" ht="15" customHeight="1">
      <c r="A25" s="55"/>
      <c r="B25" s="56" t="s">
        <v>90</v>
      </c>
      <c r="C25" s="56" t="s">
        <v>682</v>
      </c>
      <c r="D25" s="122" t="s">
        <v>70</v>
      </c>
      <c r="E25" s="122"/>
      <c r="F25" s="57" t="s">
        <v>79</v>
      </c>
      <c r="G25" s="57" t="s">
        <v>79</v>
      </c>
      <c r="H25" s="57" t="s">
        <v>79</v>
      </c>
      <c r="I25" s="36">
        <f>SUM(I26:I26)</f>
        <v>0</v>
      </c>
      <c r="J25" s="42"/>
      <c r="K25" s="36">
        <f>SUM(K26:K26)</f>
        <v>0</v>
      </c>
      <c r="L25" s="42"/>
      <c r="M25" s="64"/>
      <c r="AI25" s="42" t="s">
        <v>90</v>
      </c>
      <c r="AS25" s="36">
        <f>SUM(AJ26:AJ26)</f>
        <v>0</v>
      </c>
      <c r="AT25" s="36">
        <f>SUM(AK26:AK26)</f>
        <v>0</v>
      </c>
      <c r="AU25" s="36">
        <f>SUM(AL26:AL26)</f>
        <v>0</v>
      </c>
    </row>
    <row r="26" spans="1:75" ht="13.5" customHeight="1">
      <c r="A26" s="30" t="s">
        <v>141</v>
      </c>
      <c r="B26" s="3" t="s">
        <v>90</v>
      </c>
      <c r="C26" s="3" t="s">
        <v>683</v>
      </c>
      <c r="D26" s="78" t="s">
        <v>684</v>
      </c>
      <c r="E26" s="78"/>
      <c r="F26" s="3" t="s">
        <v>670</v>
      </c>
      <c r="G26" s="31">
        <f>'Stavební rozpočet'!G321</f>
        <v>1</v>
      </c>
      <c r="H26" s="170">
        <v>0</v>
      </c>
      <c r="I26" s="31">
        <f>G26*H26</f>
        <v>0</v>
      </c>
      <c r="J26" s="31">
        <f>'Stavební rozpočet'!J321</f>
        <v>0</v>
      </c>
      <c r="K26" s="31">
        <f>G26*J26</f>
        <v>0</v>
      </c>
      <c r="L26" s="32"/>
      <c r="M26" s="64"/>
      <c r="Z26" s="31">
        <f>IF(AQ26="5",BJ26,0)</f>
        <v>0</v>
      </c>
      <c r="AB26" s="31">
        <f>IF(AQ26="1",BH26,0)</f>
        <v>0</v>
      </c>
      <c r="AC26" s="31">
        <f>IF(AQ26="1",BI26,0)</f>
        <v>0</v>
      </c>
      <c r="AD26" s="31">
        <f>IF(AQ26="7",BH26,0)</f>
        <v>0</v>
      </c>
      <c r="AE26" s="31">
        <f>IF(AQ26="7",BI26,0)</f>
        <v>0</v>
      </c>
      <c r="AF26" s="31">
        <f>IF(AQ26="2",BH26,0)</f>
        <v>0</v>
      </c>
      <c r="AG26" s="31">
        <f>IF(AQ26="2",BI26,0)</f>
        <v>0</v>
      </c>
      <c r="AH26" s="31">
        <f>IF(AQ26="0",BJ26,0)</f>
        <v>0</v>
      </c>
      <c r="AI26" s="42" t="s">
        <v>90</v>
      </c>
      <c r="AJ26" s="31">
        <f>IF(AN26=0,I26,0)</f>
        <v>0</v>
      </c>
      <c r="AK26" s="31">
        <f>IF(AN26=12,I26,0)</f>
        <v>0</v>
      </c>
      <c r="AL26" s="31">
        <f>IF(AN26=21,I26,0)</f>
        <v>0</v>
      </c>
      <c r="AN26" s="31">
        <v>21</v>
      </c>
      <c r="AO26" s="31">
        <f>H26*0</f>
        <v>0</v>
      </c>
      <c r="AP26" s="31">
        <f>H26*(1-0)</f>
        <v>0</v>
      </c>
      <c r="AQ26" s="32" t="s">
        <v>606</v>
      </c>
      <c r="AV26" s="31">
        <f>AW26+AX26</f>
        <v>0</v>
      </c>
      <c r="AW26" s="31">
        <f>G26*AO26</f>
        <v>0</v>
      </c>
      <c r="AX26" s="31">
        <f>G26*AP26</f>
        <v>0</v>
      </c>
      <c r="AY26" s="32" t="s">
        <v>685</v>
      </c>
      <c r="AZ26" s="32" t="s">
        <v>672</v>
      </c>
      <c r="BA26" s="42" t="s">
        <v>673</v>
      </c>
      <c r="BC26" s="31">
        <f>AW26+AX26</f>
        <v>0</v>
      </c>
      <c r="BD26" s="31">
        <f>H26/(100-BE26)*100</f>
        <v>0</v>
      </c>
      <c r="BE26" s="31">
        <v>0</v>
      </c>
      <c r="BF26" s="31">
        <f>K26</f>
        <v>0</v>
      </c>
      <c r="BH26" s="31">
        <f>G26*AO26</f>
        <v>0</v>
      </c>
      <c r="BI26" s="31">
        <f>G26*AP26</f>
        <v>0</v>
      </c>
      <c r="BJ26" s="31">
        <f>G26*H26</f>
        <v>0</v>
      </c>
      <c r="BK26" s="31"/>
      <c r="BL26" s="31"/>
      <c r="BP26" s="31">
        <f>G26*H26</f>
        <v>0</v>
      </c>
      <c r="BW26" s="31">
        <v>21</v>
      </c>
    </row>
    <row r="27" spans="1:13" ht="13.5" customHeight="1">
      <c r="A27" s="60"/>
      <c r="D27" s="123" t="s">
        <v>686</v>
      </c>
      <c r="E27" s="123"/>
      <c r="F27" s="123"/>
      <c r="G27" s="123"/>
      <c r="H27" s="123"/>
      <c r="I27" s="123"/>
      <c r="J27" s="123"/>
      <c r="K27" s="123"/>
      <c r="L27" s="123"/>
      <c r="M27" s="123"/>
    </row>
    <row r="28" spans="1:13" ht="15" customHeight="1">
      <c r="A28" s="60"/>
      <c r="D28" s="61" t="s">
        <v>121</v>
      </c>
      <c r="E28" s="62"/>
      <c r="G28" s="63">
        <v>1</v>
      </c>
      <c r="M28" s="64"/>
    </row>
    <row r="29" spans="1:47" ht="15" customHeight="1">
      <c r="A29" s="55"/>
      <c r="B29" s="56" t="s">
        <v>90</v>
      </c>
      <c r="C29" s="56" t="s">
        <v>687</v>
      </c>
      <c r="D29" s="122" t="s">
        <v>71</v>
      </c>
      <c r="E29" s="122"/>
      <c r="F29" s="57" t="s">
        <v>79</v>
      </c>
      <c r="G29" s="57" t="s">
        <v>79</v>
      </c>
      <c r="H29" s="57" t="s">
        <v>79</v>
      </c>
      <c r="I29" s="36">
        <f>SUM(I30:I33)</f>
        <v>0</v>
      </c>
      <c r="J29" s="42"/>
      <c r="K29" s="36">
        <f>SUM(K30:K33)</f>
        <v>0</v>
      </c>
      <c r="L29" s="42"/>
      <c r="M29" s="64"/>
      <c r="AI29" s="42" t="s">
        <v>90</v>
      </c>
      <c r="AS29" s="36">
        <f>SUM(AJ30:AJ33)</f>
        <v>0</v>
      </c>
      <c r="AT29" s="36">
        <f>SUM(AK30:AK33)</f>
        <v>0</v>
      </c>
      <c r="AU29" s="36">
        <f>SUM(AL30:AL33)</f>
        <v>0</v>
      </c>
    </row>
    <row r="30" spans="1:75" ht="13.5" customHeight="1">
      <c r="A30" s="30" t="s">
        <v>146</v>
      </c>
      <c r="B30" s="3" t="s">
        <v>90</v>
      </c>
      <c r="C30" s="3" t="s">
        <v>688</v>
      </c>
      <c r="D30" s="78" t="s">
        <v>689</v>
      </c>
      <c r="E30" s="78"/>
      <c r="F30" s="3" t="s">
        <v>670</v>
      </c>
      <c r="G30" s="31">
        <f>'Stavební rozpočet'!G324</f>
        <v>1</v>
      </c>
      <c r="H30" s="170">
        <v>0</v>
      </c>
      <c r="I30" s="31">
        <f>G30*H30</f>
        <v>0</v>
      </c>
      <c r="J30" s="31">
        <f>'Stavební rozpočet'!J324</f>
        <v>0</v>
      </c>
      <c r="K30" s="31">
        <f>G30*J30</f>
        <v>0</v>
      </c>
      <c r="L30" s="32"/>
      <c r="M30" s="64"/>
      <c r="Z30" s="31">
        <f>IF(AQ30="5",BJ30,0)</f>
        <v>0</v>
      </c>
      <c r="AB30" s="31">
        <f>IF(AQ30="1",BH30,0)</f>
        <v>0</v>
      </c>
      <c r="AC30" s="31">
        <f>IF(AQ30="1",BI30,0)</f>
        <v>0</v>
      </c>
      <c r="AD30" s="31">
        <f>IF(AQ30="7",BH30,0)</f>
        <v>0</v>
      </c>
      <c r="AE30" s="31">
        <f>IF(AQ30="7",BI30,0)</f>
        <v>0</v>
      </c>
      <c r="AF30" s="31">
        <f>IF(AQ30="2",BH30,0)</f>
        <v>0</v>
      </c>
      <c r="AG30" s="31">
        <f>IF(AQ30="2",BI30,0)</f>
        <v>0</v>
      </c>
      <c r="AH30" s="31">
        <f>IF(AQ30="0",BJ30,0)</f>
        <v>0</v>
      </c>
      <c r="AI30" s="42" t="s">
        <v>90</v>
      </c>
      <c r="AJ30" s="31">
        <f>IF(AN30=0,I30,0)</f>
        <v>0</v>
      </c>
      <c r="AK30" s="31">
        <f>IF(AN30=12,I30,0)</f>
        <v>0</v>
      </c>
      <c r="AL30" s="31">
        <f>IF(AN30=21,I30,0)</f>
        <v>0</v>
      </c>
      <c r="AN30" s="31">
        <v>21</v>
      </c>
      <c r="AO30" s="31">
        <f>H30*0</f>
        <v>0</v>
      </c>
      <c r="AP30" s="31">
        <f>H30*(1-0)</f>
        <v>0</v>
      </c>
      <c r="AQ30" s="32" t="s">
        <v>606</v>
      </c>
      <c r="AV30" s="31">
        <f>AW30+AX30</f>
        <v>0</v>
      </c>
      <c r="AW30" s="31">
        <f>G30*AO30</f>
        <v>0</v>
      </c>
      <c r="AX30" s="31">
        <f>G30*AP30</f>
        <v>0</v>
      </c>
      <c r="AY30" s="32" t="s">
        <v>690</v>
      </c>
      <c r="AZ30" s="32" t="s">
        <v>672</v>
      </c>
      <c r="BA30" s="42" t="s">
        <v>673</v>
      </c>
      <c r="BC30" s="31">
        <f>AW30+AX30</f>
        <v>0</v>
      </c>
      <c r="BD30" s="31">
        <f>H30/(100-BE30)*100</f>
        <v>0</v>
      </c>
      <c r="BE30" s="31">
        <v>0</v>
      </c>
      <c r="BF30" s="31">
        <f>K30</f>
        <v>0</v>
      </c>
      <c r="BH30" s="31">
        <f>G30*AO30</f>
        <v>0</v>
      </c>
      <c r="BI30" s="31">
        <f>G30*AP30</f>
        <v>0</v>
      </c>
      <c r="BJ30" s="31">
        <f>G30*H30</f>
        <v>0</v>
      </c>
      <c r="BK30" s="31"/>
      <c r="BL30" s="31"/>
      <c r="BQ30" s="31">
        <f>G30*H30</f>
        <v>0</v>
      </c>
      <c r="BW30" s="31">
        <v>21</v>
      </c>
    </row>
    <row r="31" spans="1:13" ht="13.5" customHeight="1">
      <c r="A31" s="60"/>
      <c r="D31" s="123" t="s">
        <v>691</v>
      </c>
      <c r="E31" s="123"/>
      <c r="F31" s="123"/>
      <c r="G31" s="123"/>
      <c r="H31" s="123"/>
      <c r="I31" s="123"/>
      <c r="J31" s="123"/>
      <c r="K31" s="123"/>
      <c r="L31" s="123"/>
      <c r="M31" s="123"/>
    </row>
    <row r="32" spans="1:13" ht="15" customHeight="1">
      <c r="A32" s="60"/>
      <c r="D32" s="61" t="s">
        <v>121</v>
      </c>
      <c r="E32" s="62"/>
      <c r="G32" s="63">
        <v>1</v>
      </c>
      <c r="M32" s="64"/>
    </row>
    <row r="33" spans="1:75" ht="13.5" customHeight="1">
      <c r="A33" s="30" t="s">
        <v>150</v>
      </c>
      <c r="B33" s="3" t="s">
        <v>90</v>
      </c>
      <c r="C33" s="3" t="s">
        <v>692</v>
      </c>
      <c r="D33" s="78" t="s">
        <v>693</v>
      </c>
      <c r="E33" s="78"/>
      <c r="F33" s="3" t="s">
        <v>670</v>
      </c>
      <c r="G33" s="31">
        <f>'Stavební rozpočet'!G326</f>
        <v>1</v>
      </c>
      <c r="H33" s="170">
        <v>0</v>
      </c>
      <c r="I33" s="31">
        <f>G33*H33</f>
        <v>0</v>
      </c>
      <c r="J33" s="31">
        <f>'Stavební rozpočet'!J326</f>
        <v>0</v>
      </c>
      <c r="K33" s="31">
        <f>G33*J33</f>
        <v>0</v>
      </c>
      <c r="L33" s="32"/>
      <c r="M33" s="64"/>
      <c r="Z33" s="31">
        <f>IF(AQ33="5",BJ33,0)</f>
        <v>0</v>
      </c>
      <c r="AB33" s="31">
        <f>IF(AQ33="1",BH33,0)</f>
        <v>0</v>
      </c>
      <c r="AC33" s="31">
        <f>IF(AQ33="1",BI33,0)</f>
        <v>0</v>
      </c>
      <c r="AD33" s="31">
        <f>IF(AQ33="7",BH33,0)</f>
        <v>0</v>
      </c>
      <c r="AE33" s="31">
        <f>IF(AQ33="7",BI33,0)</f>
        <v>0</v>
      </c>
      <c r="AF33" s="31">
        <f>IF(AQ33="2",BH33,0)</f>
        <v>0</v>
      </c>
      <c r="AG33" s="31">
        <f>IF(AQ33="2",BI33,0)</f>
        <v>0</v>
      </c>
      <c r="AH33" s="31">
        <f>IF(AQ33="0",BJ33,0)</f>
        <v>0</v>
      </c>
      <c r="AI33" s="42" t="s">
        <v>90</v>
      </c>
      <c r="AJ33" s="31">
        <f>IF(AN33=0,I33,0)</f>
        <v>0</v>
      </c>
      <c r="AK33" s="31">
        <f>IF(AN33=12,I33,0)</f>
        <v>0</v>
      </c>
      <c r="AL33" s="31">
        <f>IF(AN33=21,I33,0)</f>
        <v>0</v>
      </c>
      <c r="AN33" s="31">
        <v>21</v>
      </c>
      <c r="AO33" s="31">
        <f>H33*0</f>
        <v>0</v>
      </c>
      <c r="AP33" s="31">
        <f>H33*(1-0)</f>
        <v>0</v>
      </c>
      <c r="AQ33" s="32" t="s">
        <v>606</v>
      </c>
      <c r="AV33" s="31">
        <f>AW33+AX33</f>
        <v>0</v>
      </c>
      <c r="AW33" s="31">
        <f>G33*AO33</f>
        <v>0</v>
      </c>
      <c r="AX33" s="31">
        <f>G33*AP33</f>
        <v>0</v>
      </c>
      <c r="AY33" s="32" t="s">
        <v>690</v>
      </c>
      <c r="AZ33" s="32" t="s">
        <v>672</v>
      </c>
      <c r="BA33" s="42" t="s">
        <v>673</v>
      </c>
      <c r="BC33" s="31">
        <f>AW33+AX33</f>
        <v>0</v>
      </c>
      <c r="BD33" s="31">
        <f>H33/(100-BE33)*100</f>
        <v>0</v>
      </c>
      <c r="BE33" s="31">
        <v>0</v>
      </c>
      <c r="BF33" s="31">
        <f>K33</f>
        <v>0</v>
      </c>
      <c r="BH33" s="31">
        <f>G33*AO33</f>
        <v>0</v>
      </c>
      <c r="BI33" s="31">
        <f>G33*AP33</f>
        <v>0</v>
      </c>
      <c r="BJ33" s="31">
        <f>G33*H33</f>
        <v>0</v>
      </c>
      <c r="BK33" s="31"/>
      <c r="BL33" s="31"/>
      <c r="BQ33" s="31">
        <f>G33*H33</f>
        <v>0</v>
      </c>
      <c r="BW33" s="31">
        <v>21</v>
      </c>
    </row>
    <row r="34" spans="1:13" ht="13.5" customHeight="1">
      <c r="A34" s="60"/>
      <c r="D34" s="123" t="s">
        <v>694</v>
      </c>
      <c r="E34" s="123"/>
      <c r="F34" s="123"/>
      <c r="G34" s="123"/>
      <c r="H34" s="123"/>
      <c r="I34" s="123"/>
      <c r="J34" s="123"/>
      <c r="K34" s="123"/>
      <c r="L34" s="123"/>
      <c r="M34" s="123"/>
    </row>
    <row r="35" spans="1:13" ht="15" customHeight="1">
      <c r="A35" s="60"/>
      <c r="D35" s="61" t="s">
        <v>121</v>
      </c>
      <c r="E35" s="62"/>
      <c r="G35" s="63">
        <v>1</v>
      </c>
      <c r="M35" s="64"/>
    </row>
    <row r="36" spans="1:47" ht="15" customHeight="1">
      <c r="A36" s="55"/>
      <c r="B36" s="56" t="s">
        <v>90</v>
      </c>
      <c r="C36" s="56" t="s">
        <v>695</v>
      </c>
      <c r="D36" s="122" t="s">
        <v>31</v>
      </c>
      <c r="E36" s="122"/>
      <c r="F36" s="57" t="s">
        <v>79</v>
      </c>
      <c r="G36" s="57" t="s">
        <v>79</v>
      </c>
      <c r="H36" s="57" t="s">
        <v>79</v>
      </c>
      <c r="I36" s="36">
        <f>SUM(I37:I37)</f>
        <v>0</v>
      </c>
      <c r="J36" s="42"/>
      <c r="K36" s="36">
        <f>SUM(K37:K37)</f>
        <v>0</v>
      </c>
      <c r="L36" s="42"/>
      <c r="M36" s="64"/>
      <c r="AI36" s="42" t="s">
        <v>90</v>
      </c>
      <c r="AS36" s="36">
        <f>SUM(AJ37:AJ37)</f>
        <v>0</v>
      </c>
      <c r="AT36" s="36">
        <f>SUM(AK37:AK37)</f>
        <v>0</v>
      </c>
      <c r="AU36" s="36">
        <f>SUM(AL37:AL37)</f>
        <v>0</v>
      </c>
    </row>
    <row r="37" spans="1:75" ht="13.5" customHeight="1">
      <c r="A37" s="30" t="s">
        <v>154</v>
      </c>
      <c r="B37" s="3" t="s">
        <v>90</v>
      </c>
      <c r="C37" s="3" t="s">
        <v>696</v>
      </c>
      <c r="D37" s="78" t="s">
        <v>697</v>
      </c>
      <c r="E37" s="78"/>
      <c r="F37" s="3" t="s">
        <v>670</v>
      </c>
      <c r="G37" s="31">
        <f>'Stavební rozpočet'!G329</f>
        <v>1</v>
      </c>
      <c r="H37" s="170">
        <v>0</v>
      </c>
      <c r="I37" s="31">
        <f>G37*H37</f>
        <v>0</v>
      </c>
      <c r="J37" s="31">
        <f>'Stavební rozpočet'!J329</f>
        <v>0</v>
      </c>
      <c r="K37" s="31">
        <f>G37*J37</f>
        <v>0</v>
      </c>
      <c r="L37" s="32"/>
      <c r="M37" s="64"/>
      <c r="Z37" s="31">
        <f>IF(AQ37="5",BJ37,0)</f>
        <v>0</v>
      </c>
      <c r="AB37" s="31">
        <f>IF(AQ37="1",BH37,0)</f>
        <v>0</v>
      </c>
      <c r="AC37" s="31">
        <f>IF(AQ37="1",BI37,0)</f>
        <v>0</v>
      </c>
      <c r="AD37" s="31">
        <f>IF(AQ37="7",BH37,0)</f>
        <v>0</v>
      </c>
      <c r="AE37" s="31">
        <f>IF(AQ37="7",BI37,0)</f>
        <v>0</v>
      </c>
      <c r="AF37" s="31">
        <f>IF(AQ37="2",BH37,0)</f>
        <v>0</v>
      </c>
      <c r="AG37" s="31">
        <f>IF(AQ37="2",BI37,0)</f>
        <v>0</v>
      </c>
      <c r="AH37" s="31">
        <f>IF(AQ37="0",BJ37,0)</f>
        <v>0</v>
      </c>
      <c r="AI37" s="42" t="s">
        <v>90</v>
      </c>
      <c r="AJ37" s="31">
        <f>IF(AN37=0,I37,0)</f>
        <v>0</v>
      </c>
      <c r="AK37" s="31">
        <f>IF(AN37=12,I37,0)</f>
        <v>0</v>
      </c>
      <c r="AL37" s="31">
        <f>IF(AN37=21,I37,0)</f>
        <v>0</v>
      </c>
      <c r="AN37" s="31">
        <v>21</v>
      </c>
      <c r="AO37" s="31">
        <f>H37*0</f>
        <v>0</v>
      </c>
      <c r="AP37" s="31">
        <f>H37*(1-0)</f>
        <v>0</v>
      </c>
      <c r="AQ37" s="32" t="s">
        <v>606</v>
      </c>
      <c r="AV37" s="31">
        <f>AW37+AX37</f>
        <v>0</v>
      </c>
      <c r="AW37" s="31">
        <f>G37*AO37</f>
        <v>0</v>
      </c>
      <c r="AX37" s="31">
        <f>G37*AP37</f>
        <v>0</v>
      </c>
      <c r="AY37" s="32" t="s">
        <v>698</v>
      </c>
      <c r="AZ37" s="32" t="s">
        <v>672</v>
      </c>
      <c r="BA37" s="42" t="s">
        <v>673</v>
      </c>
      <c r="BC37" s="31">
        <f>AW37+AX37</f>
        <v>0</v>
      </c>
      <c r="BD37" s="31">
        <f>H37/(100-BE37)*100</f>
        <v>0</v>
      </c>
      <c r="BE37" s="31">
        <v>0</v>
      </c>
      <c r="BF37" s="31">
        <f>K37</f>
        <v>0</v>
      </c>
      <c r="BH37" s="31">
        <f>G37*AO37</f>
        <v>0</v>
      </c>
      <c r="BI37" s="31">
        <f>G37*AP37</f>
        <v>0</v>
      </c>
      <c r="BJ37" s="31">
        <f>G37*H37</f>
        <v>0</v>
      </c>
      <c r="BK37" s="31"/>
      <c r="BL37" s="31"/>
      <c r="BS37" s="31">
        <f>G37*H37</f>
        <v>0</v>
      </c>
      <c r="BW37" s="31">
        <v>21</v>
      </c>
    </row>
    <row r="38" spans="1:13" ht="42.6" customHeight="1">
      <c r="A38" s="60"/>
      <c r="D38" s="123" t="s">
        <v>699</v>
      </c>
      <c r="E38" s="123"/>
      <c r="F38" s="123"/>
      <c r="G38" s="123"/>
      <c r="H38" s="123"/>
      <c r="I38" s="123"/>
      <c r="J38" s="123"/>
      <c r="K38" s="123"/>
      <c r="L38" s="123"/>
      <c r="M38" s="123"/>
    </row>
    <row r="39" spans="1:13" ht="15" customHeight="1">
      <c r="A39" s="65"/>
      <c r="B39" s="66"/>
      <c r="C39" s="66"/>
      <c r="D39" s="67" t="s">
        <v>121</v>
      </c>
      <c r="E39" s="68"/>
      <c r="F39" s="66"/>
      <c r="G39" s="69">
        <v>1</v>
      </c>
      <c r="H39" s="66"/>
      <c r="I39" s="66"/>
      <c r="J39" s="66"/>
      <c r="K39" s="66"/>
      <c r="L39" s="66"/>
      <c r="M39" s="70"/>
    </row>
    <row r="40" ht="15" customHeight="1">
      <c r="I40" s="35">
        <f>ROUND(I14+I21+I25+I29+I36,0)</f>
        <v>0</v>
      </c>
    </row>
    <row r="41" ht="15" customHeight="1">
      <c r="A41" s="17" t="s">
        <v>55</v>
      </c>
    </row>
    <row r="42" spans="1:13" ht="13.5" customHeight="1">
      <c r="A42" s="78" t="s">
        <v>92</v>
      </c>
      <c r="B42" s="78"/>
      <c r="C42" s="78"/>
      <c r="D42" s="78"/>
      <c r="E42" s="78"/>
      <c r="F42" s="78"/>
      <c r="G42" s="78"/>
      <c r="H42" s="78"/>
      <c r="I42" s="78"/>
      <c r="J42" s="78"/>
      <c r="K42" s="78"/>
      <c r="L42" s="78"/>
      <c r="M42" s="78"/>
    </row>
  </sheetData>
  <sheetProtection algorithmName="SHA-512" hashValue="gSudwT4Hqjn45RIJRwf0J47VJKT7yI6MlhiPovoTBcQTRVFYmW7sEag3MD0KOfMl1ScodiINtDFPTAVGp2R/Iw==" saltValue="K8TygH6PUee6nJHbVE4x0w==" spinCount="100000" sheet="1" objects="1" scenarios="1"/>
  <mergeCells count="50">
    <mergeCell ref="A42:M42"/>
    <mergeCell ref="D31:M31"/>
    <mergeCell ref="D33:E33"/>
    <mergeCell ref="D34:M34"/>
    <mergeCell ref="D36:E36"/>
    <mergeCell ref="D37:E37"/>
    <mergeCell ref="D38:M38"/>
    <mergeCell ref="D23:M23"/>
    <mergeCell ref="D25:E25"/>
    <mergeCell ref="D26:E26"/>
    <mergeCell ref="D27:M27"/>
    <mergeCell ref="D29:E29"/>
    <mergeCell ref="D30:E30"/>
    <mergeCell ref="D15:E15"/>
    <mergeCell ref="D16:M16"/>
    <mergeCell ref="D18:E18"/>
    <mergeCell ref="D19:M19"/>
    <mergeCell ref="D21:E21"/>
    <mergeCell ref="D22:E22"/>
    <mergeCell ref="D10:E10"/>
    <mergeCell ref="J10:K10"/>
    <mergeCell ref="D11:E11"/>
    <mergeCell ref="D12:E12"/>
    <mergeCell ref="D13:E13"/>
    <mergeCell ref="D14:E14"/>
    <mergeCell ref="A8:C9"/>
    <mergeCell ref="D8:G9"/>
    <mergeCell ref="H8:I9"/>
    <mergeCell ref="J8:J9"/>
    <mergeCell ref="K8:K9"/>
    <mergeCell ref="L8:M9"/>
    <mergeCell ref="A6:C7"/>
    <mergeCell ref="D6:G7"/>
    <mergeCell ref="H6:I7"/>
    <mergeCell ref="J6:J7"/>
    <mergeCell ref="K6:K7"/>
    <mergeCell ref="L6:M7"/>
    <mergeCell ref="A4:C5"/>
    <mergeCell ref="D4:G5"/>
    <mergeCell ref="H4:I5"/>
    <mergeCell ref="J4:J5"/>
    <mergeCell ref="K4:K5"/>
    <mergeCell ref="L4:M5"/>
    <mergeCell ref="A1:M1"/>
    <mergeCell ref="A2:C3"/>
    <mergeCell ref="D2:G3"/>
    <mergeCell ref="H2:I3"/>
    <mergeCell ref="J2:J3"/>
    <mergeCell ref="K2:K3"/>
    <mergeCell ref="L2:M3"/>
  </mergeCells>
  <printOptions/>
  <pageMargins left="0.39375" right="0.39375" top="0.5909722222222222" bottom="0.5909722222222222" header="0.5118110236220472" footer="0.5118110236220472"/>
  <pageSetup fitToHeight="0" fitToWidth="1" horizontalDpi="300" verticalDpi="300" orientation="portrait" paperSize="9"/>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333"/>
  <sheetViews>
    <sheetView showOutlineSymbols="0" workbookViewId="0" topLeftCell="A1">
      <pane ySplit="11" topLeftCell="A12" activePane="bottomLeft" state="frozen"/>
      <selection pane="bottomLeft" activeCell="A1" sqref="A1"/>
    </sheetView>
  </sheetViews>
  <sheetFormatPr defaultColWidth="14.16015625" defaultRowHeight="15" customHeight="1"/>
  <cols>
    <col min="1" max="1" width="4.66015625" style="1" customWidth="1"/>
    <col min="2" max="2" width="8.83203125" style="1" customWidth="1"/>
    <col min="3" max="3" width="20.83203125" style="1" customWidth="1"/>
    <col min="4" max="4" width="50" style="1" customWidth="1"/>
    <col min="5" max="5" width="41.66015625" style="1" customWidth="1"/>
    <col min="6" max="6" width="7.83203125" style="1" customWidth="1"/>
    <col min="7" max="7" width="15" style="1" customWidth="1"/>
    <col min="8" max="8" width="14" style="1" customWidth="1"/>
    <col min="9" max="9" width="18.33203125" style="1" customWidth="1"/>
    <col min="10" max="11" width="13.66015625" style="1" customWidth="1"/>
    <col min="12" max="12" width="15.66015625" style="1" customWidth="1"/>
    <col min="25" max="75" width="14.16015625" style="1" hidden="1" customWidth="1"/>
  </cols>
  <sheetData>
    <row r="1" spans="1:47" ht="54.75" customHeight="1">
      <c r="A1" s="112" t="s">
        <v>700</v>
      </c>
      <c r="B1" s="112"/>
      <c r="C1" s="112"/>
      <c r="D1" s="112"/>
      <c r="E1" s="112"/>
      <c r="F1" s="112"/>
      <c r="G1" s="112"/>
      <c r="H1" s="112"/>
      <c r="I1" s="112"/>
      <c r="J1" s="112"/>
      <c r="K1" s="112"/>
      <c r="L1" s="112"/>
      <c r="AS1" s="36">
        <f>SUM(AJ1:AJ2)</f>
        <v>0</v>
      </c>
      <c r="AT1" s="36">
        <f>SUM(AK1:AK2)</f>
        <v>0</v>
      </c>
      <c r="AU1" s="36">
        <f>SUM(AL1:AL2)</f>
        <v>0</v>
      </c>
    </row>
    <row r="2" spans="1:12" ht="15" customHeight="1">
      <c r="A2" s="73" t="s">
        <v>1</v>
      </c>
      <c r="B2" s="73"/>
      <c r="C2" s="73"/>
      <c r="D2" s="74" t="s">
        <v>701</v>
      </c>
      <c r="E2" s="74"/>
      <c r="F2" s="118" t="s">
        <v>77</v>
      </c>
      <c r="G2" s="118"/>
      <c r="H2" s="118" t="s">
        <v>79</v>
      </c>
      <c r="I2" s="75" t="s">
        <v>2</v>
      </c>
      <c r="J2" s="113" t="s">
        <v>702</v>
      </c>
      <c r="K2" s="113"/>
      <c r="L2" s="113"/>
    </row>
    <row r="3" spans="1:12" ht="15" customHeight="1">
      <c r="A3" s="73"/>
      <c r="B3" s="73"/>
      <c r="C3" s="73"/>
      <c r="D3" s="74"/>
      <c r="E3" s="74"/>
      <c r="F3" s="118"/>
      <c r="G3" s="118"/>
      <c r="H3" s="118"/>
      <c r="I3" s="118"/>
      <c r="J3" s="118"/>
      <c r="K3" s="113"/>
      <c r="L3" s="113"/>
    </row>
    <row r="4" spans="1:12" ht="15" customHeight="1">
      <c r="A4" s="77" t="s">
        <v>4</v>
      </c>
      <c r="B4" s="77"/>
      <c r="C4" s="77"/>
      <c r="D4" s="78" t="s">
        <v>79</v>
      </c>
      <c r="E4" s="78"/>
      <c r="F4" s="80" t="s">
        <v>8</v>
      </c>
      <c r="G4" s="80"/>
      <c r="H4" s="80" t="s">
        <v>703</v>
      </c>
      <c r="I4" s="78" t="s">
        <v>5</v>
      </c>
      <c r="J4" s="79" t="s">
        <v>704</v>
      </c>
      <c r="K4" s="79"/>
      <c r="L4" s="79"/>
    </row>
    <row r="5" spans="1:12" ht="15" customHeight="1">
      <c r="A5" s="77"/>
      <c r="B5" s="77"/>
      <c r="C5" s="77"/>
      <c r="D5" s="78"/>
      <c r="E5" s="78"/>
      <c r="F5" s="80"/>
      <c r="G5" s="80"/>
      <c r="H5" s="80"/>
      <c r="I5" s="80"/>
      <c r="J5" s="80"/>
      <c r="K5" s="79"/>
      <c r="L5" s="79"/>
    </row>
    <row r="6" spans="1:12" ht="15" customHeight="1">
      <c r="A6" s="77" t="s">
        <v>6</v>
      </c>
      <c r="B6" s="77"/>
      <c r="C6" s="77"/>
      <c r="D6" s="78" t="s">
        <v>79</v>
      </c>
      <c r="E6" s="78"/>
      <c r="F6" s="80" t="s">
        <v>9</v>
      </c>
      <c r="G6" s="80"/>
      <c r="H6" s="80" t="s">
        <v>79</v>
      </c>
      <c r="I6" s="78" t="s">
        <v>7</v>
      </c>
      <c r="J6" s="79" t="s">
        <v>704</v>
      </c>
      <c r="K6" s="79"/>
      <c r="L6" s="79"/>
    </row>
    <row r="7" spans="1:12" ht="15" customHeight="1">
      <c r="A7" s="77"/>
      <c r="B7" s="77"/>
      <c r="C7" s="77"/>
      <c r="D7" s="78"/>
      <c r="E7" s="78"/>
      <c r="F7" s="80"/>
      <c r="G7" s="80"/>
      <c r="H7" s="80"/>
      <c r="I7" s="80"/>
      <c r="J7" s="80"/>
      <c r="K7" s="79"/>
      <c r="L7" s="79"/>
    </row>
    <row r="8" spans="1:12" ht="15" customHeight="1">
      <c r="A8" s="77" t="s">
        <v>11</v>
      </c>
      <c r="B8" s="77"/>
      <c r="C8" s="77"/>
      <c r="D8" s="78" t="s">
        <v>79</v>
      </c>
      <c r="E8" s="78"/>
      <c r="F8" s="80" t="s">
        <v>78</v>
      </c>
      <c r="G8" s="80"/>
      <c r="H8" s="80" t="s">
        <v>703</v>
      </c>
      <c r="I8" s="78" t="s">
        <v>12</v>
      </c>
      <c r="J8" s="114" t="s">
        <v>705</v>
      </c>
      <c r="K8" s="114"/>
      <c r="L8" s="114"/>
    </row>
    <row r="9" spans="1:12" ht="15" customHeight="1">
      <c r="A9" s="77"/>
      <c r="B9" s="77"/>
      <c r="C9" s="77"/>
      <c r="D9" s="78"/>
      <c r="E9" s="78"/>
      <c r="F9" s="80"/>
      <c r="G9" s="80"/>
      <c r="H9" s="80"/>
      <c r="I9" s="80"/>
      <c r="J9" s="80"/>
      <c r="K9" s="114"/>
      <c r="L9" s="114"/>
    </row>
    <row r="10" spans="1:75" ht="15" customHeight="1">
      <c r="A10" s="37" t="s">
        <v>94</v>
      </c>
      <c r="B10" s="38" t="s">
        <v>82</v>
      </c>
      <c r="C10" s="38" t="s">
        <v>95</v>
      </c>
      <c r="D10" s="119" t="s">
        <v>83</v>
      </c>
      <c r="E10" s="119"/>
      <c r="F10" s="38" t="s">
        <v>96</v>
      </c>
      <c r="G10" s="39" t="s">
        <v>97</v>
      </c>
      <c r="H10" s="40" t="s">
        <v>98</v>
      </c>
      <c r="I10" s="26" t="s">
        <v>80</v>
      </c>
      <c r="J10" s="120" t="s">
        <v>81</v>
      </c>
      <c r="K10" s="120"/>
      <c r="L10" s="41" t="s">
        <v>99</v>
      </c>
      <c r="BK10" s="42" t="s">
        <v>100</v>
      </c>
      <c r="BL10" s="43" t="s">
        <v>101</v>
      </c>
      <c r="BW10" s="43" t="s">
        <v>102</v>
      </c>
    </row>
    <row r="11" spans="1:62" ht="15" customHeight="1">
      <c r="A11" s="44" t="s">
        <v>79</v>
      </c>
      <c r="B11" s="45" t="s">
        <v>79</v>
      </c>
      <c r="C11" s="45" t="s">
        <v>79</v>
      </c>
      <c r="D11" s="116" t="s">
        <v>103</v>
      </c>
      <c r="E11" s="116"/>
      <c r="F11" s="45" t="s">
        <v>79</v>
      </c>
      <c r="G11" s="45" t="s">
        <v>79</v>
      </c>
      <c r="H11" s="46" t="s">
        <v>104</v>
      </c>
      <c r="I11" s="29" t="s">
        <v>84</v>
      </c>
      <c r="J11" s="46" t="s">
        <v>105</v>
      </c>
      <c r="K11" s="47" t="s">
        <v>84</v>
      </c>
      <c r="L11" s="48" t="s">
        <v>106</v>
      </c>
      <c r="Z11" s="42" t="s">
        <v>107</v>
      </c>
      <c r="AA11" s="42" t="s">
        <v>108</v>
      </c>
      <c r="AB11" s="42" t="s">
        <v>109</v>
      </c>
      <c r="AC11" s="42" t="s">
        <v>110</v>
      </c>
      <c r="AD11" s="42" t="s">
        <v>111</v>
      </c>
      <c r="AE11" s="42" t="s">
        <v>112</v>
      </c>
      <c r="AF11" s="42" t="s">
        <v>113</v>
      </c>
      <c r="AG11" s="42" t="s">
        <v>114</v>
      </c>
      <c r="AH11" s="42" t="s">
        <v>115</v>
      </c>
      <c r="BH11" s="42" t="s">
        <v>116</v>
      </c>
      <c r="BI11" s="42" t="s">
        <v>117</v>
      </c>
      <c r="BJ11" s="42" t="s">
        <v>118</v>
      </c>
    </row>
    <row r="12" spans="1:12" ht="15" customHeight="1">
      <c r="A12" s="49"/>
      <c r="B12" s="50" t="s">
        <v>85</v>
      </c>
      <c r="C12" s="50"/>
      <c r="D12" s="121" t="s">
        <v>86</v>
      </c>
      <c r="E12" s="121"/>
      <c r="F12" s="51" t="s">
        <v>79</v>
      </c>
      <c r="G12" s="51" t="s">
        <v>79</v>
      </c>
      <c r="H12" s="51" t="s">
        <v>79</v>
      </c>
      <c r="I12" s="52">
        <f>I13+I20+I29+I37+I50+I129+I172+I231+I241+I260+I277+I279</f>
        <v>0</v>
      </c>
      <c r="J12" s="53"/>
      <c r="K12" s="52">
        <f>K13+K20+K29+K37+K50+K129+K172+K231+K241+K260+K277+K279</f>
        <v>124.40143431850001</v>
      </c>
      <c r="L12" s="54"/>
    </row>
    <row r="13" spans="1:47" ht="15" customHeight="1">
      <c r="A13" s="55"/>
      <c r="B13" s="56" t="s">
        <v>85</v>
      </c>
      <c r="C13" s="56" t="s">
        <v>119</v>
      </c>
      <c r="D13" s="122" t="s">
        <v>120</v>
      </c>
      <c r="E13" s="122"/>
      <c r="F13" s="57" t="s">
        <v>79</v>
      </c>
      <c r="G13" s="57" t="s">
        <v>79</v>
      </c>
      <c r="H13" s="57" t="s">
        <v>79</v>
      </c>
      <c r="I13" s="36">
        <f>SUM(I14:I18)</f>
        <v>0</v>
      </c>
      <c r="J13" s="42"/>
      <c r="K13" s="36">
        <f>SUM(K14:K18)</f>
        <v>0.13769900000000002</v>
      </c>
      <c r="L13" s="58"/>
      <c r="AI13" s="42" t="s">
        <v>85</v>
      </c>
      <c r="AS13" s="36">
        <f>SUM(AJ14:AJ18)</f>
        <v>0</v>
      </c>
      <c r="AT13" s="36">
        <f>SUM(AK14:AK18)</f>
        <v>0</v>
      </c>
      <c r="AU13" s="36">
        <f>SUM(AL14:AL18)</f>
        <v>0</v>
      </c>
    </row>
    <row r="14" spans="1:75" ht="13.5" customHeight="1">
      <c r="A14" s="30" t="s">
        <v>121</v>
      </c>
      <c r="B14" s="3" t="s">
        <v>85</v>
      </c>
      <c r="C14" s="3" t="s">
        <v>122</v>
      </c>
      <c r="D14" s="78" t="s">
        <v>123</v>
      </c>
      <c r="E14" s="78"/>
      <c r="F14" s="3" t="s">
        <v>124</v>
      </c>
      <c r="G14" s="31">
        <v>35.1</v>
      </c>
      <c r="H14" s="31">
        <v>0</v>
      </c>
      <c r="I14" s="31">
        <f>G14*H14</f>
        <v>0</v>
      </c>
      <c r="J14" s="31">
        <v>0.0025</v>
      </c>
      <c r="K14" s="31">
        <f>G14*J14</f>
        <v>0.08775000000000001</v>
      </c>
      <c r="L14" s="59" t="s">
        <v>125</v>
      </c>
      <c r="Z14" s="31">
        <f>IF(AQ14="5",BJ14,0)</f>
        <v>0</v>
      </c>
      <c r="AB14" s="31">
        <f>IF(AQ14="1",BH14,0)</f>
        <v>0</v>
      </c>
      <c r="AC14" s="31">
        <f>IF(AQ14="1",BI14,0)</f>
        <v>0</v>
      </c>
      <c r="AD14" s="31">
        <f>IF(AQ14="7",BH14,0)</f>
        <v>0</v>
      </c>
      <c r="AE14" s="31">
        <f>IF(AQ14="7",BI14,0)</f>
        <v>0</v>
      </c>
      <c r="AF14" s="31">
        <f>IF(AQ14="2",BH14,0)</f>
        <v>0</v>
      </c>
      <c r="AG14" s="31">
        <f>IF(AQ14="2",BI14,0)</f>
        <v>0</v>
      </c>
      <c r="AH14" s="31">
        <f>IF(AQ14="0",BJ14,0)</f>
        <v>0</v>
      </c>
      <c r="AI14" s="42" t="s">
        <v>85</v>
      </c>
      <c r="AJ14" s="31">
        <f>IF(AN14=0,I14,0)</f>
        <v>0</v>
      </c>
      <c r="AK14" s="31">
        <f>IF(AN14=12,I14,0)</f>
        <v>0</v>
      </c>
      <c r="AL14" s="31">
        <f>IF(AN14=21,I14,0)</f>
        <v>0</v>
      </c>
      <c r="AN14" s="31">
        <v>21</v>
      </c>
      <c r="AO14" s="31">
        <f>H14*0.13403709723683</f>
        <v>0</v>
      </c>
      <c r="AP14" s="31">
        <f>H14*(1-0.13403709723683)</f>
        <v>0</v>
      </c>
      <c r="AQ14" s="32" t="s">
        <v>121</v>
      </c>
      <c r="AV14" s="31">
        <f>AW14+AX14</f>
        <v>0</v>
      </c>
      <c r="AW14" s="31">
        <f>G14*AO14</f>
        <v>0</v>
      </c>
      <c r="AX14" s="31">
        <f>G14*AP14</f>
        <v>0</v>
      </c>
      <c r="AY14" s="32" t="s">
        <v>126</v>
      </c>
      <c r="AZ14" s="32" t="s">
        <v>127</v>
      </c>
      <c r="BA14" s="42" t="s">
        <v>128</v>
      </c>
      <c r="BC14" s="31">
        <f>AW14+AX14</f>
        <v>0</v>
      </c>
      <c r="BD14" s="31">
        <f>H14/(100-BE14)*100</f>
        <v>0</v>
      </c>
      <c r="BE14" s="31">
        <v>0</v>
      </c>
      <c r="BF14" s="31">
        <f>K14</f>
        <v>0.08775000000000001</v>
      </c>
      <c r="BH14" s="31">
        <f>G14*AO14</f>
        <v>0</v>
      </c>
      <c r="BI14" s="31">
        <f>G14*AP14</f>
        <v>0</v>
      </c>
      <c r="BJ14" s="31">
        <f>G14*H14</f>
        <v>0</v>
      </c>
      <c r="BK14" s="31"/>
      <c r="BL14" s="31">
        <v>60</v>
      </c>
      <c r="BW14" s="31">
        <v>21</v>
      </c>
    </row>
    <row r="15" spans="1:12" ht="15" customHeight="1">
      <c r="A15" s="60"/>
      <c r="D15" s="61" t="s">
        <v>129</v>
      </c>
      <c r="E15" s="62"/>
      <c r="G15" s="63">
        <v>35.1</v>
      </c>
      <c r="L15" s="64"/>
    </row>
    <row r="16" spans="1:75" ht="13.5" customHeight="1">
      <c r="A16" s="30" t="s">
        <v>130</v>
      </c>
      <c r="B16" s="3" t="s">
        <v>85</v>
      </c>
      <c r="C16" s="3" t="s">
        <v>131</v>
      </c>
      <c r="D16" s="78" t="s">
        <v>132</v>
      </c>
      <c r="E16" s="78"/>
      <c r="F16" s="3" t="s">
        <v>124</v>
      </c>
      <c r="G16" s="31">
        <v>52.7</v>
      </c>
      <c r="H16" s="31">
        <v>0</v>
      </c>
      <c r="I16" s="31">
        <f>G16*H16</f>
        <v>0</v>
      </c>
      <c r="J16" s="31">
        <v>0.00035</v>
      </c>
      <c r="K16" s="31">
        <f>G16*J16</f>
        <v>0.018445</v>
      </c>
      <c r="L16" s="59" t="s">
        <v>125</v>
      </c>
      <c r="Z16" s="31">
        <f>IF(AQ16="5",BJ16,0)</f>
        <v>0</v>
      </c>
      <c r="AB16" s="31">
        <f>IF(AQ16="1",BH16,0)</f>
        <v>0</v>
      </c>
      <c r="AC16" s="31">
        <f>IF(AQ16="1",BI16,0)</f>
        <v>0</v>
      </c>
      <c r="AD16" s="31">
        <f>IF(AQ16="7",BH16,0)</f>
        <v>0</v>
      </c>
      <c r="AE16" s="31">
        <f>IF(AQ16="7",BI16,0)</f>
        <v>0</v>
      </c>
      <c r="AF16" s="31">
        <f>IF(AQ16="2",BH16,0)</f>
        <v>0</v>
      </c>
      <c r="AG16" s="31">
        <f>IF(AQ16="2",BI16,0)</f>
        <v>0</v>
      </c>
      <c r="AH16" s="31">
        <f>IF(AQ16="0",BJ16,0)</f>
        <v>0</v>
      </c>
      <c r="AI16" s="42" t="s">
        <v>85</v>
      </c>
      <c r="AJ16" s="31">
        <f>IF(AN16=0,I16,0)</f>
        <v>0</v>
      </c>
      <c r="AK16" s="31">
        <f>IF(AN16=12,I16,0)</f>
        <v>0</v>
      </c>
      <c r="AL16" s="31">
        <f>IF(AN16=21,I16,0)</f>
        <v>0</v>
      </c>
      <c r="AN16" s="31">
        <v>21</v>
      </c>
      <c r="AO16" s="31">
        <f>H16*0.530506329113924</f>
        <v>0</v>
      </c>
      <c r="AP16" s="31">
        <f>H16*(1-0.530506329113924)</f>
        <v>0</v>
      </c>
      <c r="AQ16" s="32" t="s">
        <v>121</v>
      </c>
      <c r="AV16" s="31">
        <f>AW16+AX16</f>
        <v>0</v>
      </c>
      <c r="AW16" s="31">
        <f>G16*AO16</f>
        <v>0</v>
      </c>
      <c r="AX16" s="31">
        <f>G16*AP16</f>
        <v>0</v>
      </c>
      <c r="AY16" s="32" t="s">
        <v>126</v>
      </c>
      <c r="AZ16" s="32" t="s">
        <v>127</v>
      </c>
      <c r="BA16" s="42" t="s">
        <v>128</v>
      </c>
      <c r="BC16" s="31">
        <f>AW16+AX16</f>
        <v>0</v>
      </c>
      <c r="BD16" s="31">
        <f>H16/(100-BE16)*100</f>
        <v>0</v>
      </c>
      <c r="BE16" s="31">
        <v>0</v>
      </c>
      <c r="BF16" s="31">
        <f>K16</f>
        <v>0.018445</v>
      </c>
      <c r="BH16" s="31">
        <f>G16*AO16</f>
        <v>0</v>
      </c>
      <c r="BI16" s="31">
        <f>G16*AP16</f>
        <v>0</v>
      </c>
      <c r="BJ16" s="31">
        <f>G16*H16</f>
        <v>0</v>
      </c>
      <c r="BK16" s="31"/>
      <c r="BL16" s="31">
        <v>60</v>
      </c>
      <c r="BW16" s="31">
        <v>21</v>
      </c>
    </row>
    <row r="17" spans="1:12" ht="15" customHeight="1">
      <c r="A17" s="60"/>
      <c r="D17" s="61" t="s">
        <v>133</v>
      </c>
      <c r="E17" s="62"/>
      <c r="G17" s="63">
        <v>52.7</v>
      </c>
      <c r="L17" s="64"/>
    </row>
    <row r="18" spans="1:75" ht="13.5" customHeight="1">
      <c r="A18" s="30" t="s">
        <v>134</v>
      </c>
      <c r="B18" s="3" t="s">
        <v>85</v>
      </c>
      <c r="C18" s="3" t="s">
        <v>135</v>
      </c>
      <c r="D18" s="78" t="s">
        <v>136</v>
      </c>
      <c r="E18" s="78"/>
      <c r="F18" s="3" t="s">
        <v>124</v>
      </c>
      <c r="G18" s="31">
        <v>17.6</v>
      </c>
      <c r="H18" s="31">
        <v>0</v>
      </c>
      <c r="I18" s="31">
        <f>G18*H18</f>
        <v>0</v>
      </c>
      <c r="J18" s="31">
        <v>0.00179</v>
      </c>
      <c r="K18" s="31">
        <f>G18*J18</f>
        <v>0.031504000000000004</v>
      </c>
      <c r="L18" s="59" t="s">
        <v>125</v>
      </c>
      <c r="Z18" s="31">
        <f>IF(AQ18="5",BJ18,0)</f>
        <v>0</v>
      </c>
      <c r="AB18" s="31">
        <f>IF(AQ18="1",BH18,0)</f>
        <v>0</v>
      </c>
      <c r="AC18" s="31">
        <f>IF(AQ18="1",BI18,0)</f>
        <v>0</v>
      </c>
      <c r="AD18" s="31">
        <f>IF(AQ18="7",BH18,0)</f>
        <v>0</v>
      </c>
      <c r="AE18" s="31">
        <f>IF(AQ18="7",BI18,0)</f>
        <v>0</v>
      </c>
      <c r="AF18" s="31">
        <f>IF(AQ18="2",BH18,0)</f>
        <v>0</v>
      </c>
      <c r="AG18" s="31">
        <f>IF(AQ18="2",BI18,0)</f>
        <v>0</v>
      </c>
      <c r="AH18" s="31">
        <f>IF(AQ18="0",BJ18,0)</f>
        <v>0</v>
      </c>
      <c r="AI18" s="42" t="s">
        <v>85</v>
      </c>
      <c r="AJ18" s="31">
        <f>IF(AN18=0,I18,0)</f>
        <v>0</v>
      </c>
      <c r="AK18" s="31">
        <f>IF(AN18=12,I18,0)</f>
        <v>0</v>
      </c>
      <c r="AL18" s="31">
        <f>IF(AN18=21,I18,0)</f>
        <v>0</v>
      </c>
      <c r="AN18" s="31">
        <v>21</v>
      </c>
      <c r="AO18" s="31">
        <f>H18*0.547965095986038</f>
        <v>0</v>
      </c>
      <c r="AP18" s="31">
        <f>H18*(1-0.547965095986038)</f>
        <v>0</v>
      </c>
      <c r="AQ18" s="32" t="s">
        <v>121</v>
      </c>
      <c r="AV18" s="31">
        <f>AW18+AX18</f>
        <v>0</v>
      </c>
      <c r="AW18" s="31">
        <f>G18*AO18</f>
        <v>0</v>
      </c>
      <c r="AX18" s="31">
        <f>G18*AP18</f>
        <v>0</v>
      </c>
      <c r="AY18" s="32" t="s">
        <v>126</v>
      </c>
      <c r="AZ18" s="32" t="s">
        <v>127</v>
      </c>
      <c r="BA18" s="42" t="s">
        <v>128</v>
      </c>
      <c r="BC18" s="31">
        <f>AW18+AX18</f>
        <v>0</v>
      </c>
      <c r="BD18" s="31">
        <f>H18/(100-BE18)*100</f>
        <v>0</v>
      </c>
      <c r="BE18" s="31">
        <v>0</v>
      </c>
      <c r="BF18" s="31">
        <f>K18</f>
        <v>0.031504000000000004</v>
      </c>
      <c r="BH18" s="31">
        <f>G18*AO18</f>
        <v>0</v>
      </c>
      <c r="BI18" s="31">
        <f>G18*AP18</f>
        <v>0</v>
      </c>
      <c r="BJ18" s="31">
        <f>G18*H18</f>
        <v>0</v>
      </c>
      <c r="BK18" s="31"/>
      <c r="BL18" s="31">
        <v>60</v>
      </c>
      <c r="BW18" s="31">
        <v>21</v>
      </c>
    </row>
    <row r="19" spans="1:12" ht="15" customHeight="1">
      <c r="A19" s="60"/>
      <c r="D19" s="61" t="s">
        <v>138</v>
      </c>
      <c r="E19" s="62"/>
      <c r="G19" s="63">
        <v>17.6</v>
      </c>
      <c r="L19" s="64"/>
    </row>
    <row r="20" spans="1:47" ht="15" customHeight="1">
      <c r="A20" s="55"/>
      <c r="B20" s="56" t="s">
        <v>85</v>
      </c>
      <c r="C20" s="56" t="s">
        <v>139</v>
      </c>
      <c r="D20" s="122" t="s">
        <v>140</v>
      </c>
      <c r="E20" s="122"/>
      <c r="F20" s="57" t="s">
        <v>79</v>
      </c>
      <c r="G20" s="57" t="s">
        <v>79</v>
      </c>
      <c r="H20" s="57" t="s">
        <v>79</v>
      </c>
      <c r="I20" s="36">
        <f>SUM(I21:I27)</f>
        <v>0</v>
      </c>
      <c r="J20" s="42"/>
      <c r="K20" s="36">
        <f>SUM(K21:K27)</f>
        <v>1.688389</v>
      </c>
      <c r="L20" s="58"/>
      <c r="AI20" s="42" t="s">
        <v>85</v>
      </c>
      <c r="AS20" s="36">
        <f>SUM(AJ21:AJ27)</f>
        <v>0</v>
      </c>
      <c r="AT20" s="36">
        <f>SUM(AK21:AK27)</f>
        <v>0</v>
      </c>
      <c r="AU20" s="36">
        <f>SUM(AL21:AL27)</f>
        <v>0</v>
      </c>
    </row>
    <row r="21" spans="1:75" ht="13.5" customHeight="1">
      <c r="A21" s="30" t="s">
        <v>141</v>
      </c>
      <c r="B21" s="3" t="s">
        <v>85</v>
      </c>
      <c r="C21" s="3" t="s">
        <v>142</v>
      </c>
      <c r="D21" s="78" t="s">
        <v>143</v>
      </c>
      <c r="E21" s="78"/>
      <c r="F21" s="3" t="s">
        <v>124</v>
      </c>
      <c r="G21" s="31">
        <v>71.7</v>
      </c>
      <c r="H21" s="31">
        <v>0</v>
      </c>
      <c r="I21" s="31">
        <f>G21*H21</f>
        <v>0</v>
      </c>
      <c r="J21" s="31">
        <v>0.008</v>
      </c>
      <c r="K21" s="31">
        <f>G21*J21</f>
        <v>0.5736</v>
      </c>
      <c r="L21" s="59" t="s">
        <v>125</v>
      </c>
      <c r="Z21" s="31">
        <f>IF(AQ21="5",BJ21,0)</f>
        <v>0</v>
      </c>
      <c r="AB21" s="31">
        <f>IF(AQ21="1",BH21,0)</f>
        <v>0</v>
      </c>
      <c r="AC21" s="31">
        <f>IF(AQ21="1",BI21,0)</f>
        <v>0</v>
      </c>
      <c r="AD21" s="31">
        <f>IF(AQ21="7",BH21,0)</f>
        <v>0</v>
      </c>
      <c r="AE21" s="31">
        <f>IF(AQ21="7",BI21,0)</f>
        <v>0</v>
      </c>
      <c r="AF21" s="31">
        <f>IF(AQ21="2",BH21,0)</f>
        <v>0</v>
      </c>
      <c r="AG21" s="31">
        <f>IF(AQ21="2",BI21,0)</f>
        <v>0</v>
      </c>
      <c r="AH21" s="31">
        <f>IF(AQ21="0",BJ21,0)</f>
        <v>0</v>
      </c>
      <c r="AI21" s="42" t="s">
        <v>85</v>
      </c>
      <c r="AJ21" s="31">
        <f>IF(AN21=0,I21,0)</f>
        <v>0</v>
      </c>
      <c r="AK21" s="31">
        <f>IF(AN21=12,I21,0)</f>
        <v>0</v>
      </c>
      <c r="AL21" s="31">
        <f>IF(AN21=21,I21,0)</f>
        <v>0</v>
      </c>
      <c r="AN21" s="31">
        <v>21</v>
      </c>
      <c r="AO21" s="31">
        <f>H21*0.583280651801689</f>
        <v>0</v>
      </c>
      <c r="AP21" s="31">
        <f>H21*(1-0.583280651801689)</f>
        <v>0</v>
      </c>
      <c r="AQ21" s="32" t="s">
        <v>121</v>
      </c>
      <c r="AV21" s="31">
        <f>AW21+AX21</f>
        <v>0</v>
      </c>
      <c r="AW21" s="31">
        <f>G21*AO21</f>
        <v>0</v>
      </c>
      <c r="AX21" s="31">
        <f>G21*AP21</f>
        <v>0</v>
      </c>
      <c r="AY21" s="32" t="s">
        <v>144</v>
      </c>
      <c r="AZ21" s="32" t="s">
        <v>127</v>
      </c>
      <c r="BA21" s="42" t="s">
        <v>128</v>
      </c>
      <c r="BC21" s="31">
        <f>AW21+AX21</f>
        <v>0</v>
      </c>
      <c r="BD21" s="31">
        <f>H21/(100-BE21)*100</f>
        <v>0</v>
      </c>
      <c r="BE21" s="31">
        <v>0</v>
      </c>
      <c r="BF21" s="31">
        <f>K21</f>
        <v>0.5736</v>
      </c>
      <c r="BH21" s="31">
        <f>G21*AO21</f>
        <v>0</v>
      </c>
      <c r="BI21" s="31">
        <f>G21*AP21</f>
        <v>0</v>
      </c>
      <c r="BJ21" s="31">
        <f>G21*H21</f>
        <v>0</v>
      </c>
      <c r="BK21" s="31"/>
      <c r="BL21" s="31">
        <v>62</v>
      </c>
      <c r="BW21" s="31">
        <v>21</v>
      </c>
    </row>
    <row r="22" spans="1:12" ht="15" customHeight="1">
      <c r="A22" s="60"/>
      <c r="D22" s="61" t="s">
        <v>145</v>
      </c>
      <c r="E22" s="62"/>
      <c r="G22" s="63">
        <v>71.7</v>
      </c>
      <c r="L22" s="64"/>
    </row>
    <row r="23" spans="1:75" ht="13.5" customHeight="1">
      <c r="A23" s="30" t="s">
        <v>146</v>
      </c>
      <c r="B23" s="3" t="s">
        <v>85</v>
      </c>
      <c r="C23" s="3" t="s">
        <v>147</v>
      </c>
      <c r="D23" s="78" t="s">
        <v>148</v>
      </c>
      <c r="E23" s="78"/>
      <c r="F23" s="3" t="s">
        <v>124</v>
      </c>
      <c r="G23" s="31">
        <v>71.7</v>
      </c>
      <c r="H23" s="31">
        <v>0</v>
      </c>
      <c r="I23" s="31">
        <f>G23*H23</f>
        <v>0</v>
      </c>
      <c r="J23" s="31">
        <v>0.01118</v>
      </c>
      <c r="K23" s="31">
        <f>G23*J23</f>
        <v>0.801606</v>
      </c>
      <c r="L23" s="59" t="s">
        <v>125</v>
      </c>
      <c r="Z23" s="31">
        <f>IF(AQ23="5",BJ23,0)</f>
        <v>0</v>
      </c>
      <c r="AB23" s="31">
        <f>IF(AQ23="1",BH23,0)</f>
        <v>0</v>
      </c>
      <c r="AC23" s="31">
        <f>IF(AQ23="1",BI23,0)</f>
        <v>0</v>
      </c>
      <c r="AD23" s="31">
        <f>IF(AQ23="7",BH23,0)</f>
        <v>0</v>
      </c>
      <c r="AE23" s="31">
        <f>IF(AQ23="7",BI23,0)</f>
        <v>0</v>
      </c>
      <c r="AF23" s="31">
        <f>IF(AQ23="2",BH23,0)</f>
        <v>0</v>
      </c>
      <c r="AG23" s="31">
        <f>IF(AQ23="2",BI23,0)</f>
        <v>0</v>
      </c>
      <c r="AH23" s="31">
        <f>IF(AQ23="0",BJ23,0)</f>
        <v>0</v>
      </c>
      <c r="AI23" s="42" t="s">
        <v>85</v>
      </c>
      <c r="AJ23" s="31">
        <f>IF(AN23=0,I23,0)</f>
        <v>0</v>
      </c>
      <c r="AK23" s="31">
        <f>IF(AN23=12,I23,0)</f>
        <v>0</v>
      </c>
      <c r="AL23" s="31">
        <f>IF(AN23=21,I23,0)</f>
        <v>0</v>
      </c>
      <c r="AN23" s="31">
        <v>21</v>
      </c>
      <c r="AO23" s="31">
        <f>H23*0.648897377506795</f>
        <v>0</v>
      </c>
      <c r="AP23" s="31">
        <f>H23*(1-0.648897377506795)</f>
        <v>0</v>
      </c>
      <c r="AQ23" s="32" t="s">
        <v>121</v>
      </c>
      <c r="AV23" s="31">
        <f>AW23+AX23</f>
        <v>0</v>
      </c>
      <c r="AW23" s="31">
        <f>G23*AO23</f>
        <v>0</v>
      </c>
      <c r="AX23" s="31">
        <f>G23*AP23</f>
        <v>0</v>
      </c>
      <c r="AY23" s="32" t="s">
        <v>144</v>
      </c>
      <c r="AZ23" s="32" t="s">
        <v>127</v>
      </c>
      <c r="BA23" s="42" t="s">
        <v>128</v>
      </c>
      <c r="BC23" s="31">
        <f>AW23+AX23</f>
        <v>0</v>
      </c>
      <c r="BD23" s="31">
        <f>H23/(100-BE23)*100</f>
        <v>0</v>
      </c>
      <c r="BE23" s="31">
        <v>0</v>
      </c>
      <c r="BF23" s="31">
        <f>K23</f>
        <v>0.801606</v>
      </c>
      <c r="BH23" s="31">
        <f>G23*AO23</f>
        <v>0</v>
      </c>
      <c r="BI23" s="31">
        <f>G23*AP23</f>
        <v>0</v>
      </c>
      <c r="BJ23" s="31">
        <f>G23*H23</f>
        <v>0</v>
      </c>
      <c r="BK23" s="31"/>
      <c r="BL23" s="31">
        <v>62</v>
      </c>
      <c r="BW23" s="31">
        <v>21</v>
      </c>
    </row>
    <row r="24" spans="1:12" ht="15" customHeight="1">
      <c r="A24" s="60"/>
      <c r="D24" s="61" t="s">
        <v>145</v>
      </c>
      <c r="E24" s="62"/>
      <c r="G24" s="63">
        <v>71.7</v>
      </c>
      <c r="L24" s="64"/>
    </row>
    <row r="25" spans="1:75" ht="13.5" customHeight="1">
      <c r="A25" s="30" t="s">
        <v>150</v>
      </c>
      <c r="B25" s="3" t="s">
        <v>85</v>
      </c>
      <c r="C25" s="3" t="s">
        <v>151</v>
      </c>
      <c r="D25" s="78" t="s">
        <v>152</v>
      </c>
      <c r="E25" s="78"/>
      <c r="F25" s="3" t="s">
        <v>124</v>
      </c>
      <c r="G25" s="31">
        <v>17.6</v>
      </c>
      <c r="H25" s="31">
        <v>0</v>
      </c>
      <c r="I25" s="31">
        <f>G25*H25</f>
        <v>0</v>
      </c>
      <c r="J25" s="31">
        <v>0.00063</v>
      </c>
      <c r="K25" s="31">
        <f>G25*J25</f>
        <v>0.011088</v>
      </c>
      <c r="L25" s="59" t="s">
        <v>125</v>
      </c>
      <c r="Z25" s="31">
        <f>IF(AQ25="5",BJ25,0)</f>
        <v>0</v>
      </c>
      <c r="AB25" s="31">
        <f>IF(AQ25="1",BH25,0)</f>
        <v>0</v>
      </c>
      <c r="AC25" s="31">
        <f>IF(AQ25="1",BI25,0)</f>
        <v>0</v>
      </c>
      <c r="AD25" s="31">
        <f>IF(AQ25="7",BH25,0)</f>
        <v>0</v>
      </c>
      <c r="AE25" s="31">
        <f>IF(AQ25="7",BI25,0)</f>
        <v>0</v>
      </c>
      <c r="AF25" s="31">
        <f>IF(AQ25="2",BH25,0)</f>
        <v>0</v>
      </c>
      <c r="AG25" s="31">
        <f>IF(AQ25="2",BI25,0)</f>
        <v>0</v>
      </c>
      <c r="AH25" s="31">
        <f>IF(AQ25="0",BJ25,0)</f>
        <v>0</v>
      </c>
      <c r="AI25" s="42" t="s">
        <v>85</v>
      </c>
      <c r="AJ25" s="31">
        <f>IF(AN25=0,I25,0)</f>
        <v>0</v>
      </c>
      <c r="AK25" s="31">
        <f>IF(AN25=12,I25,0)</f>
        <v>0</v>
      </c>
      <c r="AL25" s="31">
        <f>IF(AN25=21,I25,0)</f>
        <v>0</v>
      </c>
      <c r="AN25" s="31">
        <v>21</v>
      </c>
      <c r="AO25" s="31">
        <f>H25*0.606978998384491</f>
        <v>0</v>
      </c>
      <c r="AP25" s="31">
        <f>H25*(1-0.606978998384491)</f>
        <v>0</v>
      </c>
      <c r="AQ25" s="32" t="s">
        <v>121</v>
      </c>
      <c r="AV25" s="31">
        <f>AW25+AX25</f>
        <v>0</v>
      </c>
      <c r="AW25" s="31">
        <f>G25*AO25</f>
        <v>0</v>
      </c>
      <c r="AX25" s="31">
        <f>G25*AP25</f>
        <v>0</v>
      </c>
      <c r="AY25" s="32" t="s">
        <v>144</v>
      </c>
      <c r="AZ25" s="32" t="s">
        <v>127</v>
      </c>
      <c r="BA25" s="42" t="s">
        <v>128</v>
      </c>
      <c r="BC25" s="31">
        <f>AW25+AX25</f>
        <v>0</v>
      </c>
      <c r="BD25" s="31">
        <f>H25/(100-BE25)*100</f>
        <v>0</v>
      </c>
      <c r="BE25" s="31">
        <v>0</v>
      </c>
      <c r="BF25" s="31">
        <f>K25</f>
        <v>0.011088</v>
      </c>
      <c r="BH25" s="31">
        <f>G25*AO25</f>
        <v>0</v>
      </c>
      <c r="BI25" s="31">
        <f>G25*AP25</f>
        <v>0</v>
      </c>
      <c r="BJ25" s="31">
        <f>G25*H25</f>
        <v>0</v>
      </c>
      <c r="BK25" s="31"/>
      <c r="BL25" s="31">
        <v>62</v>
      </c>
      <c r="BW25" s="31">
        <v>21</v>
      </c>
    </row>
    <row r="26" spans="1:12" ht="15" customHeight="1">
      <c r="A26" s="60"/>
      <c r="D26" s="61" t="s">
        <v>138</v>
      </c>
      <c r="E26" s="62"/>
      <c r="G26" s="63">
        <v>17.6</v>
      </c>
      <c r="L26" s="64"/>
    </row>
    <row r="27" spans="1:75" ht="13.5" customHeight="1">
      <c r="A27" s="30" t="s">
        <v>154</v>
      </c>
      <c r="B27" s="3" t="s">
        <v>85</v>
      </c>
      <c r="C27" s="3" t="s">
        <v>155</v>
      </c>
      <c r="D27" s="78" t="s">
        <v>156</v>
      </c>
      <c r="E27" s="78"/>
      <c r="F27" s="3" t="s">
        <v>124</v>
      </c>
      <c r="G27" s="31">
        <v>15.5</v>
      </c>
      <c r="H27" s="31">
        <v>0</v>
      </c>
      <c r="I27" s="31">
        <f>G27*H27</f>
        <v>0</v>
      </c>
      <c r="J27" s="31">
        <v>0.01949</v>
      </c>
      <c r="K27" s="31">
        <f>G27*J27</f>
        <v>0.302095</v>
      </c>
      <c r="L27" s="59" t="s">
        <v>125</v>
      </c>
      <c r="Z27" s="31">
        <f>IF(AQ27="5",BJ27,0)</f>
        <v>0</v>
      </c>
      <c r="AB27" s="31">
        <f>IF(AQ27="1",BH27,0)</f>
        <v>0</v>
      </c>
      <c r="AC27" s="31">
        <f>IF(AQ27="1",BI27,0)</f>
        <v>0</v>
      </c>
      <c r="AD27" s="31">
        <f>IF(AQ27="7",BH27,0)</f>
        <v>0</v>
      </c>
      <c r="AE27" s="31">
        <f>IF(AQ27="7",BI27,0)</f>
        <v>0</v>
      </c>
      <c r="AF27" s="31">
        <f>IF(AQ27="2",BH27,0)</f>
        <v>0</v>
      </c>
      <c r="AG27" s="31">
        <f>IF(AQ27="2",BI27,0)</f>
        <v>0</v>
      </c>
      <c r="AH27" s="31">
        <f>IF(AQ27="0",BJ27,0)</f>
        <v>0</v>
      </c>
      <c r="AI27" s="42" t="s">
        <v>85</v>
      </c>
      <c r="AJ27" s="31">
        <f>IF(AN27=0,I27,0)</f>
        <v>0</v>
      </c>
      <c r="AK27" s="31">
        <f>IF(AN27=12,I27,0)</f>
        <v>0</v>
      </c>
      <c r="AL27" s="31">
        <f>IF(AN27=21,I27,0)</f>
        <v>0</v>
      </c>
      <c r="AN27" s="31">
        <v>21</v>
      </c>
      <c r="AO27" s="31">
        <f>H27*0.0340310786106033</f>
        <v>0</v>
      </c>
      <c r="AP27" s="31">
        <f>H27*(1-0.0340310786106033)</f>
        <v>0</v>
      </c>
      <c r="AQ27" s="32" t="s">
        <v>121</v>
      </c>
      <c r="AV27" s="31">
        <f>AW27+AX27</f>
        <v>0</v>
      </c>
      <c r="AW27" s="31">
        <f>G27*AO27</f>
        <v>0</v>
      </c>
      <c r="AX27" s="31">
        <f>G27*AP27</f>
        <v>0</v>
      </c>
      <c r="AY27" s="32" t="s">
        <v>144</v>
      </c>
      <c r="AZ27" s="32" t="s">
        <v>127</v>
      </c>
      <c r="BA27" s="42" t="s">
        <v>128</v>
      </c>
      <c r="BC27" s="31">
        <f>AW27+AX27</f>
        <v>0</v>
      </c>
      <c r="BD27" s="31">
        <f>H27/(100-BE27)*100</f>
        <v>0</v>
      </c>
      <c r="BE27" s="31">
        <v>0</v>
      </c>
      <c r="BF27" s="31">
        <f>K27</f>
        <v>0.302095</v>
      </c>
      <c r="BH27" s="31">
        <f>G27*AO27</f>
        <v>0</v>
      </c>
      <c r="BI27" s="31">
        <f>G27*AP27</f>
        <v>0</v>
      </c>
      <c r="BJ27" s="31">
        <f>G27*H27</f>
        <v>0</v>
      </c>
      <c r="BK27" s="31"/>
      <c r="BL27" s="31">
        <v>62</v>
      </c>
      <c r="BW27" s="31">
        <v>21</v>
      </c>
    </row>
    <row r="28" spans="1:12" ht="15" customHeight="1">
      <c r="A28" s="60"/>
      <c r="D28" s="61" t="s">
        <v>157</v>
      </c>
      <c r="E28" s="62"/>
      <c r="G28" s="63">
        <v>15.500000000000002</v>
      </c>
      <c r="L28" s="64"/>
    </row>
    <row r="29" spans="1:47" ht="15" customHeight="1">
      <c r="A29" s="55"/>
      <c r="B29" s="56" t="s">
        <v>85</v>
      </c>
      <c r="C29" s="56" t="s">
        <v>158</v>
      </c>
      <c r="D29" s="122" t="s">
        <v>159</v>
      </c>
      <c r="E29" s="122"/>
      <c r="F29" s="57" t="s">
        <v>79</v>
      </c>
      <c r="G29" s="57" t="s">
        <v>79</v>
      </c>
      <c r="H29" s="57" t="s">
        <v>79</v>
      </c>
      <c r="I29" s="36">
        <f>SUM(I30:I35)</f>
        <v>0</v>
      </c>
      <c r="J29" s="42"/>
      <c r="K29" s="36">
        <f>SUM(K30:K35)</f>
        <v>0.20836085</v>
      </c>
      <c r="L29" s="58"/>
      <c r="AI29" s="42" t="s">
        <v>85</v>
      </c>
      <c r="AS29" s="36">
        <f>SUM(AJ30:AJ35)</f>
        <v>0</v>
      </c>
      <c r="AT29" s="36">
        <f>SUM(AK30:AK35)</f>
        <v>0</v>
      </c>
      <c r="AU29" s="36">
        <f>SUM(AL30:AL35)</f>
        <v>0</v>
      </c>
    </row>
    <row r="30" spans="1:75" ht="13.5" customHeight="1">
      <c r="A30" s="30" t="s">
        <v>160</v>
      </c>
      <c r="B30" s="3" t="s">
        <v>85</v>
      </c>
      <c r="C30" s="3" t="s">
        <v>161</v>
      </c>
      <c r="D30" s="78" t="s">
        <v>162</v>
      </c>
      <c r="E30" s="78"/>
      <c r="F30" s="3" t="s">
        <v>124</v>
      </c>
      <c r="G30" s="31">
        <v>10.08</v>
      </c>
      <c r="H30" s="31">
        <v>0</v>
      </c>
      <c r="I30" s="31">
        <f>G30*H30</f>
        <v>0</v>
      </c>
      <c r="J30" s="31">
        <v>0.006</v>
      </c>
      <c r="K30" s="31">
        <f>G30*J30</f>
        <v>0.06048</v>
      </c>
      <c r="L30" s="59" t="s">
        <v>125</v>
      </c>
      <c r="Z30" s="31">
        <f>IF(AQ30="5",BJ30,0)</f>
        <v>0</v>
      </c>
      <c r="AB30" s="31">
        <f>IF(AQ30="1",BH30,0)</f>
        <v>0</v>
      </c>
      <c r="AC30" s="31">
        <f>IF(AQ30="1",BI30,0)</f>
        <v>0</v>
      </c>
      <c r="AD30" s="31">
        <f>IF(AQ30="7",BH30,0)</f>
        <v>0</v>
      </c>
      <c r="AE30" s="31">
        <f>IF(AQ30="7",BI30,0)</f>
        <v>0</v>
      </c>
      <c r="AF30" s="31">
        <f>IF(AQ30="2",BH30,0)</f>
        <v>0</v>
      </c>
      <c r="AG30" s="31">
        <f>IF(AQ30="2",BI30,0)</f>
        <v>0</v>
      </c>
      <c r="AH30" s="31">
        <f>IF(AQ30="0",BJ30,0)</f>
        <v>0</v>
      </c>
      <c r="AI30" s="42" t="s">
        <v>85</v>
      </c>
      <c r="AJ30" s="31">
        <f>IF(AN30=0,I30,0)</f>
        <v>0</v>
      </c>
      <c r="AK30" s="31">
        <f>IF(AN30=12,I30,0)</f>
        <v>0</v>
      </c>
      <c r="AL30" s="31">
        <f>IF(AN30=21,I30,0)</f>
        <v>0</v>
      </c>
      <c r="AN30" s="31">
        <v>21</v>
      </c>
      <c r="AO30" s="31">
        <f>H30*0</f>
        <v>0</v>
      </c>
      <c r="AP30" s="31">
        <f>H30*(1-0)</f>
        <v>0</v>
      </c>
      <c r="AQ30" s="32" t="s">
        <v>154</v>
      </c>
      <c r="AV30" s="31">
        <f>AW30+AX30</f>
        <v>0</v>
      </c>
      <c r="AW30" s="31">
        <f>G30*AO30</f>
        <v>0</v>
      </c>
      <c r="AX30" s="31">
        <f>G30*AP30</f>
        <v>0</v>
      </c>
      <c r="AY30" s="32" t="s">
        <v>163</v>
      </c>
      <c r="AZ30" s="32" t="s">
        <v>164</v>
      </c>
      <c r="BA30" s="42" t="s">
        <v>128</v>
      </c>
      <c r="BC30" s="31">
        <f>AW30+AX30</f>
        <v>0</v>
      </c>
      <c r="BD30" s="31">
        <f>H30/(100-BE30)*100</f>
        <v>0</v>
      </c>
      <c r="BE30" s="31">
        <v>0</v>
      </c>
      <c r="BF30" s="31">
        <f>K30</f>
        <v>0.06048</v>
      </c>
      <c r="BH30" s="31">
        <f>G30*AO30</f>
        <v>0</v>
      </c>
      <c r="BI30" s="31">
        <f>G30*AP30</f>
        <v>0</v>
      </c>
      <c r="BJ30" s="31">
        <f>G30*H30</f>
        <v>0</v>
      </c>
      <c r="BK30" s="31"/>
      <c r="BL30" s="31">
        <v>712</v>
      </c>
      <c r="BW30" s="31">
        <v>21</v>
      </c>
    </row>
    <row r="31" spans="1:12" ht="15" customHeight="1">
      <c r="A31" s="60"/>
      <c r="D31" s="61" t="s">
        <v>166</v>
      </c>
      <c r="E31" s="62"/>
      <c r="G31" s="63">
        <v>10.08</v>
      </c>
      <c r="L31" s="64"/>
    </row>
    <row r="32" spans="1:75" ht="13.5" customHeight="1">
      <c r="A32" s="30" t="s">
        <v>167</v>
      </c>
      <c r="B32" s="3" t="s">
        <v>85</v>
      </c>
      <c r="C32" s="3" t="s">
        <v>168</v>
      </c>
      <c r="D32" s="78" t="s">
        <v>169</v>
      </c>
      <c r="E32" s="78"/>
      <c r="F32" s="3" t="s">
        <v>124</v>
      </c>
      <c r="G32" s="31">
        <v>36.695</v>
      </c>
      <c r="H32" s="31">
        <v>0</v>
      </c>
      <c r="I32" s="31">
        <f>G32*H32</f>
        <v>0</v>
      </c>
      <c r="J32" s="31">
        <v>0.00403</v>
      </c>
      <c r="K32" s="31">
        <f>G32*J32</f>
        <v>0.14788084999999998</v>
      </c>
      <c r="L32" s="59" t="s">
        <v>125</v>
      </c>
      <c r="Z32" s="31">
        <f>IF(AQ32="5",BJ32,0)</f>
        <v>0</v>
      </c>
      <c r="AB32" s="31">
        <f>IF(AQ32="1",BH32,0)</f>
        <v>0</v>
      </c>
      <c r="AC32" s="31">
        <f>IF(AQ32="1",BI32,0)</f>
        <v>0</v>
      </c>
      <c r="AD32" s="31">
        <f>IF(AQ32="7",BH32,0)</f>
        <v>0</v>
      </c>
      <c r="AE32" s="31">
        <f>IF(AQ32="7",BI32,0)</f>
        <v>0</v>
      </c>
      <c r="AF32" s="31">
        <f>IF(AQ32="2",BH32,0)</f>
        <v>0</v>
      </c>
      <c r="AG32" s="31">
        <f>IF(AQ32="2",BI32,0)</f>
        <v>0</v>
      </c>
      <c r="AH32" s="31">
        <f>IF(AQ32="0",BJ32,0)</f>
        <v>0</v>
      </c>
      <c r="AI32" s="42" t="s">
        <v>85</v>
      </c>
      <c r="AJ32" s="31">
        <f>IF(AN32=0,I32,0)</f>
        <v>0</v>
      </c>
      <c r="AK32" s="31">
        <f>IF(AN32=12,I32,0)</f>
        <v>0</v>
      </c>
      <c r="AL32" s="31">
        <f>IF(AN32=21,I32,0)</f>
        <v>0</v>
      </c>
      <c r="AN32" s="31">
        <v>21</v>
      </c>
      <c r="AO32" s="31">
        <f>H32*0.754335861335336</f>
        <v>0</v>
      </c>
      <c r="AP32" s="31">
        <f>H32*(1-0.754335861335336)</f>
        <v>0</v>
      </c>
      <c r="AQ32" s="32" t="s">
        <v>154</v>
      </c>
      <c r="AV32" s="31">
        <f>AW32+AX32</f>
        <v>0</v>
      </c>
      <c r="AW32" s="31">
        <f>G32*AO32</f>
        <v>0</v>
      </c>
      <c r="AX32" s="31">
        <f>G32*AP32</f>
        <v>0</v>
      </c>
      <c r="AY32" s="32" t="s">
        <v>163</v>
      </c>
      <c r="AZ32" s="32" t="s">
        <v>164</v>
      </c>
      <c r="BA32" s="42" t="s">
        <v>128</v>
      </c>
      <c r="BC32" s="31">
        <f>AW32+AX32</f>
        <v>0</v>
      </c>
      <c r="BD32" s="31">
        <f>H32/(100-BE32)*100</f>
        <v>0</v>
      </c>
      <c r="BE32" s="31">
        <v>0</v>
      </c>
      <c r="BF32" s="31">
        <f>K32</f>
        <v>0.14788084999999998</v>
      </c>
      <c r="BH32" s="31">
        <f>G32*AO32</f>
        <v>0</v>
      </c>
      <c r="BI32" s="31">
        <f>G32*AP32</f>
        <v>0</v>
      </c>
      <c r="BJ32" s="31">
        <f>G32*H32</f>
        <v>0</v>
      </c>
      <c r="BK32" s="31"/>
      <c r="BL32" s="31">
        <v>712</v>
      </c>
      <c r="BW32" s="31">
        <v>21</v>
      </c>
    </row>
    <row r="33" spans="1:12" ht="15" customHeight="1">
      <c r="A33" s="60"/>
      <c r="D33" s="61" t="s">
        <v>171</v>
      </c>
      <c r="E33" s="62"/>
      <c r="G33" s="63">
        <v>17.795</v>
      </c>
      <c r="L33" s="64"/>
    </row>
    <row r="34" spans="1:12" ht="15" customHeight="1">
      <c r="A34" s="60"/>
      <c r="D34" s="61" t="s">
        <v>172</v>
      </c>
      <c r="E34" s="62"/>
      <c r="G34" s="63">
        <v>18.900000000000002</v>
      </c>
      <c r="L34" s="64"/>
    </row>
    <row r="35" spans="1:75" ht="13.5" customHeight="1">
      <c r="A35" s="30" t="s">
        <v>173</v>
      </c>
      <c r="B35" s="3" t="s">
        <v>85</v>
      </c>
      <c r="C35" s="3" t="s">
        <v>174</v>
      </c>
      <c r="D35" s="78" t="s">
        <v>175</v>
      </c>
      <c r="E35" s="78"/>
      <c r="F35" s="3" t="s">
        <v>61</v>
      </c>
      <c r="G35" s="31">
        <v>500</v>
      </c>
      <c r="H35" s="31">
        <v>0</v>
      </c>
      <c r="I35" s="31">
        <f>G35*H35</f>
        <v>0</v>
      </c>
      <c r="J35" s="31">
        <v>0</v>
      </c>
      <c r="K35" s="31">
        <f>G35*J35</f>
        <v>0</v>
      </c>
      <c r="L35" s="59" t="s">
        <v>125</v>
      </c>
      <c r="Z35" s="31">
        <f>IF(AQ35="5",BJ35,0)</f>
        <v>0</v>
      </c>
      <c r="AB35" s="31">
        <f>IF(AQ35="1",BH35,0)</f>
        <v>0</v>
      </c>
      <c r="AC35" s="31">
        <f>IF(AQ35="1",BI35,0)</f>
        <v>0</v>
      </c>
      <c r="AD35" s="31">
        <f>IF(AQ35="7",BH35,0)</f>
        <v>0</v>
      </c>
      <c r="AE35" s="31">
        <f>IF(AQ35="7",BI35,0)</f>
        <v>0</v>
      </c>
      <c r="AF35" s="31">
        <f>IF(AQ35="2",BH35,0)</f>
        <v>0</v>
      </c>
      <c r="AG35" s="31">
        <f>IF(AQ35="2",BI35,0)</f>
        <v>0</v>
      </c>
      <c r="AH35" s="31">
        <f>IF(AQ35="0",BJ35,0)</f>
        <v>0</v>
      </c>
      <c r="AI35" s="42" t="s">
        <v>85</v>
      </c>
      <c r="AJ35" s="31">
        <f>IF(AN35=0,I35,0)</f>
        <v>0</v>
      </c>
      <c r="AK35" s="31">
        <f>IF(AN35=12,I35,0)</f>
        <v>0</v>
      </c>
      <c r="AL35" s="31">
        <f>IF(AN35=21,I35,0)</f>
        <v>0</v>
      </c>
      <c r="AN35" s="31">
        <v>21</v>
      </c>
      <c r="AO35" s="31">
        <f>H35*0</f>
        <v>0</v>
      </c>
      <c r="AP35" s="31">
        <f>H35*(1-0)</f>
        <v>0</v>
      </c>
      <c r="AQ35" s="32" t="s">
        <v>146</v>
      </c>
      <c r="AV35" s="31">
        <f>AW35+AX35</f>
        <v>0</v>
      </c>
      <c r="AW35" s="31">
        <f>G35*AO35</f>
        <v>0</v>
      </c>
      <c r="AX35" s="31">
        <f>G35*AP35</f>
        <v>0</v>
      </c>
      <c r="AY35" s="32" t="s">
        <v>163</v>
      </c>
      <c r="AZ35" s="32" t="s">
        <v>164</v>
      </c>
      <c r="BA35" s="42" t="s">
        <v>128</v>
      </c>
      <c r="BC35" s="31">
        <f>AW35+AX35</f>
        <v>0</v>
      </c>
      <c r="BD35" s="31">
        <f>H35/(100-BE35)*100</f>
        <v>0</v>
      </c>
      <c r="BE35" s="31">
        <v>0</v>
      </c>
      <c r="BF35" s="31">
        <f>K35</f>
        <v>0</v>
      </c>
      <c r="BH35" s="31">
        <f>G35*AO35</f>
        <v>0</v>
      </c>
      <c r="BI35" s="31">
        <f>G35*AP35</f>
        <v>0</v>
      </c>
      <c r="BJ35" s="31">
        <f>G35*H35</f>
        <v>0</v>
      </c>
      <c r="BK35" s="31"/>
      <c r="BL35" s="31">
        <v>712</v>
      </c>
      <c r="BW35" s="31">
        <v>21</v>
      </c>
    </row>
    <row r="36" spans="1:12" ht="15" customHeight="1">
      <c r="A36" s="60"/>
      <c r="D36" s="61" t="s">
        <v>176</v>
      </c>
      <c r="E36" s="62"/>
      <c r="G36" s="63">
        <v>500.00000000000006</v>
      </c>
      <c r="L36" s="64"/>
    </row>
    <row r="37" spans="1:47" ht="15" customHeight="1">
      <c r="A37" s="55"/>
      <c r="B37" s="56" t="s">
        <v>85</v>
      </c>
      <c r="C37" s="56" t="s">
        <v>177</v>
      </c>
      <c r="D37" s="122" t="s">
        <v>178</v>
      </c>
      <c r="E37" s="122"/>
      <c r="F37" s="57" t="s">
        <v>79</v>
      </c>
      <c r="G37" s="57" t="s">
        <v>79</v>
      </c>
      <c r="H37" s="57" t="s">
        <v>79</v>
      </c>
      <c r="I37" s="36">
        <f>SUM(I38:I48)</f>
        <v>0</v>
      </c>
      <c r="J37" s="42"/>
      <c r="K37" s="36">
        <f>SUM(K38:K48)</f>
        <v>3.3680158000000002</v>
      </c>
      <c r="L37" s="58"/>
      <c r="AI37" s="42" t="s">
        <v>85</v>
      </c>
      <c r="AS37" s="36">
        <f>SUM(AJ38:AJ48)</f>
        <v>0</v>
      </c>
      <c r="AT37" s="36">
        <f>SUM(AK38:AK48)</f>
        <v>0</v>
      </c>
      <c r="AU37" s="36">
        <f>SUM(AL38:AL48)</f>
        <v>0</v>
      </c>
    </row>
    <row r="38" spans="1:75" ht="27" customHeight="1">
      <c r="A38" s="30" t="s">
        <v>179</v>
      </c>
      <c r="B38" s="3" t="s">
        <v>85</v>
      </c>
      <c r="C38" s="3" t="s">
        <v>180</v>
      </c>
      <c r="D38" s="78" t="s">
        <v>181</v>
      </c>
      <c r="E38" s="78"/>
      <c r="F38" s="3" t="s">
        <v>124</v>
      </c>
      <c r="G38" s="31">
        <v>101.9524</v>
      </c>
      <c r="H38" s="31">
        <v>0</v>
      </c>
      <c r="I38" s="31">
        <f>G38*H38</f>
        <v>0</v>
      </c>
      <c r="J38" s="31">
        <v>0.004</v>
      </c>
      <c r="K38" s="31">
        <f>G38*J38</f>
        <v>0.4078096</v>
      </c>
      <c r="L38" s="59" t="s">
        <v>125</v>
      </c>
      <c r="Z38" s="31">
        <f>IF(AQ38="5",BJ38,0)</f>
        <v>0</v>
      </c>
      <c r="AB38" s="31">
        <f>IF(AQ38="1",BH38,0)</f>
        <v>0</v>
      </c>
      <c r="AC38" s="31">
        <f>IF(AQ38="1",BI38,0)</f>
        <v>0</v>
      </c>
      <c r="AD38" s="31">
        <f>IF(AQ38="7",BH38,0)</f>
        <v>0</v>
      </c>
      <c r="AE38" s="31">
        <f>IF(AQ38="7",BI38,0)</f>
        <v>0</v>
      </c>
      <c r="AF38" s="31">
        <f>IF(AQ38="2",BH38,0)</f>
        <v>0</v>
      </c>
      <c r="AG38" s="31">
        <f>IF(AQ38="2",BI38,0)</f>
        <v>0</v>
      </c>
      <c r="AH38" s="31">
        <f>IF(AQ38="0",BJ38,0)</f>
        <v>0</v>
      </c>
      <c r="AI38" s="42" t="s">
        <v>85</v>
      </c>
      <c r="AJ38" s="31">
        <f>IF(AN38=0,I38,0)</f>
        <v>0</v>
      </c>
      <c r="AK38" s="31">
        <f>IF(AN38=12,I38,0)</f>
        <v>0</v>
      </c>
      <c r="AL38" s="31">
        <f>IF(AN38=21,I38,0)</f>
        <v>0</v>
      </c>
      <c r="AN38" s="31">
        <v>21</v>
      </c>
      <c r="AO38" s="31">
        <f>H38*0</f>
        <v>0</v>
      </c>
      <c r="AP38" s="31">
        <f>H38*(1-0)</f>
        <v>0</v>
      </c>
      <c r="AQ38" s="32" t="s">
        <v>154</v>
      </c>
      <c r="AV38" s="31">
        <f>AW38+AX38</f>
        <v>0</v>
      </c>
      <c r="AW38" s="31">
        <f>G38*AO38</f>
        <v>0</v>
      </c>
      <c r="AX38" s="31">
        <f>G38*AP38</f>
        <v>0</v>
      </c>
      <c r="AY38" s="32" t="s">
        <v>182</v>
      </c>
      <c r="AZ38" s="32" t="s">
        <v>164</v>
      </c>
      <c r="BA38" s="42" t="s">
        <v>128</v>
      </c>
      <c r="BC38" s="31">
        <f>AW38+AX38</f>
        <v>0</v>
      </c>
      <c r="BD38" s="31">
        <f>H38/(100-BE38)*100</f>
        <v>0</v>
      </c>
      <c r="BE38" s="31">
        <v>0</v>
      </c>
      <c r="BF38" s="31">
        <f>K38</f>
        <v>0.4078096</v>
      </c>
      <c r="BH38" s="31">
        <f>G38*AO38</f>
        <v>0</v>
      </c>
      <c r="BI38" s="31">
        <f>G38*AP38</f>
        <v>0</v>
      </c>
      <c r="BJ38" s="31">
        <f>G38*H38</f>
        <v>0</v>
      </c>
      <c r="BK38" s="31"/>
      <c r="BL38" s="31">
        <v>713</v>
      </c>
      <c r="BW38" s="31">
        <v>21</v>
      </c>
    </row>
    <row r="39" spans="1:12" ht="15" customHeight="1">
      <c r="A39" s="60"/>
      <c r="D39" s="61" t="s">
        <v>183</v>
      </c>
      <c r="E39" s="62"/>
      <c r="G39" s="63">
        <v>101.95240000000001</v>
      </c>
      <c r="L39" s="64"/>
    </row>
    <row r="40" spans="1:75" ht="13.5" customHeight="1">
      <c r="A40" s="30" t="s">
        <v>184</v>
      </c>
      <c r="B40" s="3" t="s">
        <v>85</v>
      </c>
      <c r="C40" s="3" t="s">
        <v>185</v>
      </c>
      <c r="D40" s="78" t="s">
        <v>186</v>
      </c>
      <c r="E40" s="78"/>
      <c r="F40" s="3" t="s">
        <v>124</v>
      </c>
      <c r="G40" s="31">
        <v>301.14</v>
      </c>
      <c r="H40" s="31">
        <v>0</v>
      </c>
      <c r="I40" s="31">
        <f>G40*H40</f>
        <v>0</v>
      </c>
      <c r="J40" s="31">
        <v>0</v>
      </c>
      <c r="K40" s="31">
        <f>G40*J40</f>
        <v>0</v>
      </c>
      <c r="L40" s="59" t="s">
        <v>125</v>
      </c>
      <c r="Z40" s="31">
        <f>IF(AQ40="5",BJ40,0)</f>
        <v>0</v>
      </c>
      <c r="AB40" s="31">
        <f>IF(AQ40="1",BH40,0)</f>
        <v>0</v>
      </c>
      <c r="AC40" s="31">
        <f>IF(AQ40="1",BI40,0)</f>
        <v>0</v>
      </c>
      <c r="AD40" s="31">
        <f>IF(AQ40="7",BH40,0)</f>
        <v>0</v>
      </c>
      <c r="AE40" s="31">
        <f>IF(AQ40="7",BI40,0)</f>
        <v>0</v>
      </c>
      <c r="AF40" s="31">
        <f>IF(AQ40="2",BH40,0)</f>
        <v>0</v>
      </c>
      <c r="AG40" s="31">
        <f>IF(AQ40="2",BI40,0)</f>
        <v>0</v>
      </c>
      <c r="AH40" s="31">
        <f>IF(AQ40="0",BJ40,0)</f>
        <v>0</v>
      </c>
      <c r="AI40" s="42" t="s">
        <v>85</v>
      </c>
      <c r="AJ40" s="31">
        <f>IF(AN40=0,I40,0)</f>
        <v>0</v>
      </c>
      <c r="AK40" s="31">
        <f>IF(AN40=12,I40,0)</f>
        <v>0</v>
      </c>
      <c r="AL40" s="31">
        <f>IF(AN40=21,I40,0)</f>
        <v>0</v>
      </c>
      <c r="AN40" s="31">
        <v>21</v>
      </c>
      <c r="AO40" s="31">
        <f>H40*0</f>
        <v>0</v>
      </c>
      <c r="AP40" s="31">
        <f>H40*(1-0)</f>
        <v>0</v>
      </c>
      <c r="AQ40" s="32" t="s">
        <v>154</v>
      </c>
      <c r="AV40" s="31">
        <f>AW40+AX40</f>
        <v>0</v>
      </c>
      <c r="AW40" s="31">
        <f>G40*AO40</f>
        <v>0</v>
      </c>
      <c r="AX40" s="31">
        <f>G40*AP40</f>
        <v>0</v>
      </c>
      <c r="AY40" s="32" t="s">
        <v>182</v>
      </c>
      <c r="AZ40" s="32" t="s">
        <v>164</v>
      </c>
      <c r="BA40" s="42" t="s">
        <v>128</v>
      </c>
      <c r="BC40" s="31">
        <f>AW40+AX40</f>
        <v>0</v>
      </c>
      <c r="BD40" s="31">
        <f>H40/(100-BE40)*100</f>
        <v>0</v>
      </c>
      <c r="BE40" s="31">
        <v>0</v>
      </c>
      <c r="BF40" s="31">
        <f>K40</f>
        <v>0</v>
      </c>
      <c r="BH40" s="31">
        <f>G40*AO40</f>
        <v>0</v>
      </c>
      <c r="BI40" s="31">
        <f>G40*AP40</f>
        <v>0</v>
      </c>
      <c r="BJ40" s="31">
        <f>G40*H40</f>
        <v>0</v>
      </c>
      <c r="BK40" s="31"/>
      <c r="BL40" s="31">
        <v>713</v>
      </c>
      <c r="BW40" s="31">
        <v>21</v>
      </c>
    </row>
    <row r="41" spans="1:12" ht="15" customHeight="1">
      <c r="A41" s="60"/>
      <c r="D41" s="61" t="s">
        <v>188</v>
      </c>
      <c r="E41" s="62"/>
      <c r="G41" s="63">
        <v>173.28</v>
      </c>
      <c r="L41" s="64"/>
    </row>
    <row r="42" spans="1:12" ht="15" customHeight="1">
      <c r="A42" s="60"/>
      <c r="D42" s="61" t="s">
        <v>189</v>
      </c>
      <c r="E42" s="62"/>
      <c r="G42" s="63">
        <v>127.86000000000001</v>
      </c>
      <c r="L42" s="64"/>
    </row>
    <row r="43" spans="1:75" ht="13.5" customHeight="1">
      <c r="A43" s="30" t="s">
        <v>190</v>
      </c>
      <c r="B43" s="3" t="s">
        <v>85</v>
      </c>
      <c r="C43" s="3" t="s">
        <v>191</v>
      </c>
      <c r="D43" s="78" t="s">
        <v>192</v>
      </c>
      <c r="E43" s="78"/>
      <c r="F43" s="3" t="s">
        <v>124</v>
      </c>
      <c r="G43" s="31">
        <v>662.508</v>
      </c>
      <c r="H43" s="31">
        <v>0</v>
      </c>
      <c r="I43" s="31">
        <f>G43*H43</f>
        <v>0</v>
      </c>
      <c r="J43" s="31">
        <v>0.0028</v>
      </c>
      <c r="K43" s="31">
        <f>G43*J43</f>
        <v>1.8550224000000002</v>
      </c>
      <c r="L43" s="59" t="s">
        <v>125</v>
      </c>
      <c r="Z43" s="31">
        <f>IF(AQ43="5",BJ43,0)</f>
        <v>0</v>
      </c>
      <c r="AB43" s="31">
        <f>IF(AQ43="1",BH43,0)</f>
        <v>0</v>
      </c>
      <c r="AC43" s="31">
        <f>IF(AQ43="1",BI43,0)</f>
        <v>0</v>
      </c>
      <c r="AD43" s="31">
        <f>IF(AQ43="7",BH43,0)</f>
        <v>0</v>
      </c>
      <c r="AE43" s="31">
        <f>IF(AQ43="7",BI43,0)</f>
        <v>0</v>
      </c>
      <c r="AF43" s="31">
        <f>IF(AQ43="2",BH43,0)</f>
        <v>0</v>
      </c>
      <c r="AG43" s="31">
        <f>IF(AQ43="2",BI43,0)</f>
        <v>0</v>
      </c>
      <c r="AH43" s="31">
        <f>IF(AQ43="0",BJ43,0)</f>
        <v>0</v>
      </c>
      <c r="AI43" s="42" t="s">
        <v>85</v>
      </c>
      <c r="AJ43" s="31">
        <f>IF(AN43=0,I43,0)</f>
        <v>0</v>
      </c>
      <c r="AK43" s="31">
        <f>IF(AN43=12,I43,0)</f>
        <v>0</v>
      </c>
      <c r="AL43" s="31">
        <f>IF(AN43=21,I43,0)</f>
        <v>0</v>
      </c>
      <c r="AN43" s="31">
        <v>21</v>
      </c>
      <c r="AO43" s="31">
        <f>H43*1</f>
        <v>0</v>
      </c>
      <c r="AP43" s="31">
        <f>H43*(1-1)</f>
        <v>0</v>
      </c>
      <c r="AQ43" s="32" t="s">
        <v>154</v>
      </c>
      <c r="AV43" s="31">
        <f>AW43+AX43</f>
        <v>0</v>
      </c>
      <c r="AW43" s="31">
        <f>G43*AO43</f>
        <v>0</v>
      </c>
      <c r="AX43" s="31">
        <f>G43*AP43</f>
        <v>0</v>
      </c>
      <c r="AY43" s="32" t="s">
        <v>182</v>
      </c>
      <c r="AZ43" s="32" t="s">
        <v>164</v>
      </c>
      <c r="BA43" s="42" t="s">
        <v>128</v>
      </c>
      <c r="BC43" s="31">
        <f>AW43+AX43</f>
        <v>0</v>
      </c>
      <c r="BD43" s="31">
        <f>H43/(100-BE43)*100</f>
        <v>0</v>
      </c>
      <c r="BE43" s="31">
        <v>0</v>
      </c>
      <c r="BF43" s="31">
        <f>K43</f>
        <v>1.8550224000000002</v>
      </c>
      <c r="BH43" s="31">
        <f>G43*AO43</f>
        <v>0</v>
      </c>
      <c r="BI43" s="31">
        <f>G43*AP43</f>
        <v>0</v>
      </c>
      <c r="BJ43" s="31">
        <f>G43*H43</f>
        <v>0</v>
      </c>
      <c r="BK43" s="31"/>
      <c r="BL43" s="31">
        <v>713</v>
      </c>
      <c r="BW43" s="31">
        <v>21</v>
      </c>
    </row>
    <row r="44" spans="1:12" ht="15" customHeight="1">
      <c r="A44" s="60"/>
      <c r="D44" s="61" t="s">
        <v>193</v>
      </c>
      <c r="E44" s="62"/>
      <c r="G44" s="63">
        <v>602.2800000000001</v>
      </c>
      <c r="L44" s="64"/>
    </row>
    <row r="45" spans="1:12" ht="15" customHeight="1">
      <c r="A45" s="60"/>
      <c r="D45" s="61" t="s">
        <v>194</v>
      </c>
      <c r="E45" s="62"/>
      <c r="G45" s="63">
        <v>60.228</v>
      </c>
      <c r="L45" s="64"/>
    </row>
    <row r="46" spans="1:75" ht="13.5" customHeight="1">
      <c r="A46" s="30" t="s">
        <v>195</v>
      </c>
      <c r="B46" s="3" t="s">
        <v>85</v>
      </c>
      <c r="C46" s="3" t="s">
        <v>196</v>
      </c>
      <c r="D46" s="78" t="s">
        <v>197</v>
      </c>
      <c r="E46" s="78"/>
      <c r="F46" s="3" t="s">
        <v>124</v>
      </c>
      <c r="G46" s="31">
        <v>301.14</v>
      </c>
      <c r="H46" s="31">
        <v>0</v>
      </c>
      <c r="I46" s="31">
        <f>G46*H46</f>
        <v>0</v>
      </c>
      <c r="J46" s="31">
        <v>0.00367</v>
      </c>
      <c r="K46" s="31">
        <f>G46*J46</f>
        <v>1.1051838</v>
      </c>
      <c r="L46" s="59" t="s">
        <v>125</v>
      </c>
      <c r="Z46" s="31">
        <f>IF(AQ46="5",BJ46,0)</f>
        <v>0</v>
      </c>
      <c r="AB46" s="31">
        <f>IF(AQ46="1",BH46,0)</f>
        <v>0</v>
      </c>
      <c r="AC46" s="31">
        <f>IF(AQ46="1",BI46,0)</f>
        <v>0</v>
      </c>
      <c r="AD46" s="31">
        <f>IF(AQ46="7",BH46,0)</f>
        <v>0</v>
      </c>
      <c r="AE46" s="31">
        <f>IF(AQ46="7",BI46,0)</f>
        <v>0</v>
      </c>
      <c r="AF46" s="31">
        <f>IF(AQ46="2",BH46,0)</f>
        <v>0</v>
      </c>
      <c r="AG46" s="31">
        <f>IF(AQ46="2",BI46,0)</f>
        <v>0</v>
      </c>
      <c r="AH46" s="31">
        <f>IF(AQ46="0",BJ46,0)</f>
        <v>0</v>
      </c>
      <c r="AI46" s="42" t="s">
        <v>85</v>
      </c>
      <c r="AJ46" s="31">
        <f>IF(AN46=0,I46,0)</f>
        <v>0</v>
      </c>
      <c r="AK46" s="31">
        <f>IF(AN46=12,I46,0)</f>
        <v>0</v>
      </c>
      <c r="AL46" s="31">
        <f>IF(AN46=21,I46,0)</f>
        <v>0</v>
      </c>
      <c r="AN46" s="31">
        <v>21</v>
      </c>
      <c r="AO46" s="31">
        <f>H46*0.788466142015021</f>
        <v>0</v>
      </c>
      <c r="AP46" s="31">
        <f>H46*(1-0.788466142015021)</f>
        <v>0</v>
      </c>
      <c r="AQ46" s="32" t="s">
        <v>154</v>
      </c>
      <c r="AV46" s="31">
        <f>AW46+AX46</f>
        <v>0</v>
      </c>
      <c r="AW46" s="31">
        <f>G46*AO46</f>
        <v>0</v>
      </c>
      <c r="AX46" s="31">
        <f>G46*AP46</f>
        <v>0</v>
      </c>
      <c r="AY46" s="32" t="s">
        <v>182</v>
      </c>
      <c r="AZ46" s="32" t="s">
        <v>164</v>
      </c>
      <c r="BA46" s="42" t="s">
        <v>128</v>
      </c>
      <c r="BC46" s="31">
        <f>AW46+AX46</f>
        <v>0</v>
      </c>
      <c r="BD46" s="31">
        <f>H46/(100-BE46)*100</f>
        <v>0</v>
      </c>
      <c r="BE46" s="31">
        <v>0</v>
      </c>
      <c r="BF46" s="31">
        <f>K46</f>
        <v>1.1051838</v>
      </c>
      <c r="BH46" s="31">
        <f>G46*AO46</f>
        <v>0</v>
      </c>
      <c r="BI46" s="31">
        <f>G46*AP46</f>
        <v>0</v>
      </c>
      <c r="BJ46" s="31">
        <f>G46*H46</f>
        <v>0</v>
      </c>
      <c r="BK46" s="31"/>
      <c r="BL46" s="31">
        <v>713</v>
      </c>
      <c r="BW46" s="31">
        <v>21</v>
      </c>
    </row>
    <row r="47" spans="1:12" ht="15" customHeight="1">
      <c r="A47" s="60"/>
      <c r="D47" s="61" t="s">
        <v>199</v>
      </c>
      <c r="E47" s="62"/>
      <c r="G47" s="63">
        <v>301.14000000000004</v>
      </c>
      <c r="L47" s="64"/>
    </row>
    <row r="48" spans="1:75" ht="13.5" customHeight="1">
      <c r="A48" s="30" t="s">
        <v>200</v>
      </c>
      <c r="B48" s="3" t="s">
        <v>85</v>
      </c>
      <c r="C48" s="3" t="s">
        <v>201</v>
      </c>
      <c r="D48" s="78" t="s">
        <v>202</v>
      </c>
      <c r="E48" s="78"/>
      <c r="F48" s="3" t="s">
        <v>61</v>
      </c>
      <c r="G48" s="31">
        <v>1000</v>
      </c>
      <c r="H48" s="31">
        <v>0</v>
      </c>
      <c r="I48" s="31">
        <f>G48*H48</f>
        <v>0</v>
      </c>
      <c r="J48" s="31">
        <v>0</v>
      </c>
      <c r="K48" s="31">
        <f>G48*J48</f>
        <v>0</v>
      </c>
      <c r="L48" s="59" t="s">
        <v>125</v>
      </c>
      <c r="Z48" s="31">
        <f>IF(AQ48="5",BJ48,0)</f>
        <v>0</v>
      </c>
      <c r="AB48" s="31">
        <f>IF(AQ48="1",BH48,0)</f>
        <v>0</v>
      </c>
      <c r="AC48" s="31">
        <f>IF(AQ48="1",BI48,0)</f>
        <v>0</v>
      </c>
      <c r="AD48" s="31">
        <f>IF(AQ48="7",BH48,0)</f>
        <v>0</v>
      </c>
      <c r="AE48" s="31">
        <f>IF(AQ48="7",BI48,0)</f>
        <v>0</v>
      </c>
      <c r="AF48" s="31">
        <f>IF(AQ48="2",BH48,0)</f>
        <v>0</v>
      </c>
      <c r="AG48" s="31">
        <f>IF(AQ48="2",BI48,0)</f>
        <v>0</v>
      </c>
      <c r="AH48" s="31">
        <f>IF(AQ48="0",BJ48,0)</f>
        <v>0</v>
      </c>
      <c r="AI48" s="42" t="s">
        <v>85</v>
      </c>
      <c r="AJ48" s="31">
        <f>IF(AN48=0,I48,0)</f>
        <v>0</v>
      </c>
      <c r="AK48" s="31">
        <f>IF(AN48=12,I48,0)</f>
        <v>0</v>
      </c>
      <c r="AL48" s="31">
        <f>IF(AN48=21,I48,0)</f>
        <v>0</v>
      </c>
      <c r="AN48" s="31">
        <v>21</v>
      </c>
      <c r="AO48" s="31">
        <f>H48*0</f>
        <v>0</v>
      </c>
      <c r="AP48" s="31">
        <f>H48*(1-0)</f>
        <v>0</v>
      </c>
      <c r="AQ48" s="32" t="s">
        <v>146</v>
      </c>
      <c r="AV48" s="31">
        <f>AW48+AX48</f>
        <v>0</v>
      </c>
      <c r="AW48" s="31">
        <f>G48*AO48</f>
        <v>0</v>
      </c>
      <c r="AX48" s="31">
        <f>G48*AP48</f>
        <v>0</v>
      </c>
      <c r="AY48" s="32" t="s">
        <v>182</v>
      </c>
      <c r="AZ48" s="32" t="s">
        <v>164</v>
      </c>
      <c r="BA48" s="42" t="s">
        <v>128</v>
      </c>
      <c r="BC48" s="31">
        <f>AW48+AX48</f>
        <v>0</v>
      </c>
      <c r="BD48" s="31">
        <f>H48/(100-BE48)*100</f>
        <v>0</v>
      </c>
      <c r="BE48" s="31">
        <v>0</v>
      </c>
      <c r="BF48" s="31">
        <f>K48</f>
        <v>0</v>
      </c>
      <c r="BH48" s="31">
        <f>G48*AO48</f>
        <v>0</v>
      </c>
      <c r="BI48" s="31">
        <f>G48*AP48</f>
        <v>0</v>
      </c>
      <c r="BJ48" s="31">
        <f>G48*H48</f>
        <v>0</v>
      </c>
      <c r="BK48" s="31"/>
      <c r="BL48" s="31">
        <v>713</v>
      </c>
      <c r="BW48" s="31">
        <v>21</v>
      </c>
    </row>
    <row r="49" spans="1:12" ht="15" customHeight="1">
      <c r="A49" s="60"/>
      <c r="D49" s="61" t="s">
        <v>203</v>
      </c>
      <c r="E49" s="62"/>
      <c r="G49" s="63">
        <v>1000.0000000000001</v>
      </c>
      <c r="L49" s="64"/>
    </row>
    <row r="50" spans="1:47" ht="15" customHeight="1">
      <c r="A50" s="55"/>
      <c r="B50" s="56" t="s">
        <v>85</v>
      </c>
      <c r="C50" s="56" t="s">
        <v>204</v>
      </c>
      <c r="D50" s="122" t="s">
        <v>205</v>
      </c>
      <c r="E50" s="122"/>
      <c r="F50" s="57" t="s">
        <v>79</v>
      </c>
      <c r="G50" s="57" t="s">
        <v>79</v>
      </c>
      <c r="H50" s="57" t="s">
        <v>79</v>
      </c>
      <c r="I50" s="36">
        <f>SUM(I51:I126)</f>
        <v>0</v>
      </c>
      <c r="J50" s="42"/>
      <c r="K50" s="36">
        <f>SUM(K51:K126)</f>
        <v>17.795377551500003</v>
      </c>
      <c r="L50" s="58"/>
      <c r="AI50" s="42" t="s">
        <v>85</v>
      </c>
      <c r="AS50" s="36">
        <f>SUM(AJ51:AJ126)</f>
        <v>0</v>
      </c>
      <c r="AT50" s="36">
        <f>SUM(AK51:AK126)</f>
        <v>0</v>
      </c>
      <c r="AU50" s="36">
        <f>SUM(AL51:AL126)</f>
        <v>0</v>
      </c>
    </row>
    <row r="51" spans="1:75" ht="13.5" customHeight="1">
      <c r="A51" s="30" t="s">
        <v>206</v>
      </c>
      <c r="B51" s="3" t="s">
        <v>85</v>
      </c>
      <c r="C51" s="3" t="s">
        <v>207</v>
      </c>
      <c r="D51" s="78" t="s">
        <v>208</v>
      </c>
      <c r="E51" s="78"/>
      <c r="F51" s="3" t="s">
        <v>209</v>
      </c>
      <c r="G51" s="31">
        <v>399.6431</v>
      </c>
      <c r="H51" s="31">
        <v>0</v>
      </c>
      <c r="I51" s="31">
        <f>G51*H51</f>
        <v>0</v>
      </c>
      <c r="J51" s="31">
        <v>0.01248</v>
      </c>
      <c r="K51" s="31">
        <f>G51*J51</f>
        <v>4.987545888</v>
      </c>
      <c r="L51" s="59" t="s">
        <v>125</v>
      </c>
      <c r="Z51" s="31">
        <f>IF(AQ51="5",BJ51,0)</f>
        <v>0</v>
      </c>
      <c r="AB51" s="31">
        <f>IF(AQ51="1",BH51,0)</f>
        <v>0</v>
      </c>
      <c r="AC51" s="31">
        <f>IF(AQ51="1",BI51,0)</f>
        <v>0</v>
      </c>
      <c r="AD51" s="31">
        <f>IF(AQ51="7",BH51,0)</f>
        <v>0</v>
      </c>
      <c r="AE51" s="31">
        <f>IF(AQ51="7",BI51,0)</f>
        <v>0</v>
      </c>
      <c r="AF51" s="31">
        <f>IF(AQ51="2",BH51,0)</f>
        <v>0</v>
      </c>
      <c r="AG51" s="31">
        <f>IF(AQ51="2",BI51,0)</f>
        <v>0</v>
      </c>
      <c r="AH51" s="31">
        <f>IF(AQ51="0",BJ51,0)</f>
        <v>0</v>
      </c>
      <c r="AI51" s="42" t="s">
        <v>85</v>
      </c>
      <c r="AJ51" s="31">
        <f>IF(AN51=0,I51,0)</f>
        <v>0</v>
      </c>
      <c r="AK51" s="31">
        <f>IF(AN51=12,I51,0)</f>
        <v>0</v>
      </c>
      <c r="AL51" s="31">
        <f>IF(AN51=21,I51,0)</f>
        <v>0</v>
      </c>
      <c r="AN51" s="31">
        <v>21</v>
      </c>
      <c r="AO51" s="31">
        <f>H51*0.0280838313675075</f>
        <v>0</v>
      </c>
      <c r="AP51" s="31">
        <f>H51*(1-0.0280838313675075)</f>
        <v>0</v>
      </c>
      <c r="AQ51" s="32" t="s">
        <v>154</v>
      </c>
      <c r="AV51" s="31">
        <f>AW51+AX51</f>
        <v>0</v>
      </c>
      <c r="AW51" s="31">
        <f>G51*AO51</f>
        <v>0</v>
      </c>
      <c r="AX51" s="31">
        <f>G51*AP51</f>
        <v>0</v>
      </c>
      <c r="AY51" s="32" t="s">
        <v>210</v>
      </c>
      <c r="AZ51" s="32" t="s">
        <v>211</v>
      </c>
      <c r="BA51" s="42" t="s">
        <v>128</v>
      </c>
      <c r="BC51" s="31">
        <f>AW51+AX51</f>
        <v>0</v>
      </c>
      <c r="BD51" s="31">
        <f>H51/(100-BE51)*100</f>
        <v>0</v>
      </c>
      <c r="BE51" s="31">
        <v>0</v>
      </c>
      <c r="BF51" s="31">
        <f>K51</f>
        <v>4.987545888</v>
      </c>
      <c r="BH51" s="31">
        <f>G51*AO51</f>
        <v>0</v>
      </c>
      <c r="BI51" s="31">
        <f>G51*AP51</f>
        <v>0</v>
      </c>
      <c r="BJ51" s="31">
        <f>G51*H51</f>
        <v>0</v>
      </c>
      <c r="BK51" s="31"/>
      <c r="BL51" s="31">
        <v>762</v>
      </c>
      <c r="BW51" s="31">
        <v>21</v>
      </c>
    </row>
    <row r="52" spans="1:12" ht="15" customHeight="1">
      <c r="A52" s="60"/>
      <c r="D52" s="61" t="s">
        <v>212</v>
      </c>
      <c r="E52" s="62"/>
      <c r="G52" s="63">
        <v>19.3611</v>
      </c>
      <c r="L52" s="64"/>
    </row>
    <row r="53" spans="1:12" ht="15" customHeight="1">
      <c r="A53" s="60"/>
      <c r="D53" s="61" t="s">
        <v>213</v>
      </c>
      <c r="E53" s="62"/>
      <c r="G53" s="63">
        <v>39.664</v>
      </c>
      <c r="L53" s="64"/>
    </row>
    <row r="54" spans="1:12" ht="15" customHeight="1">
      <c r="A54" s="60"/>
      <c r="D54" s="61" t="s">
        <v>214</v>
      </c>
      <c r="E54" s="62"/>
      <c r="G54" s="63">
        <v>71.76</v>
      </c>
      <c r="L54" s="64"/>
    </row>
    <row r="55" spans="1:12" ht="15" customHeight="1">
      <c r="A55" s="60"/>
      <c r="D55" s="61" t="s">
        <v>215</v>
      </c>
      <c r="E55" s="62"/>
      <c r="G55" s="63">
        <v>61.696000000000005</v>
      </c>
      <c r="L55" s="64"/>
    </row>
    <row r="56" spans="1:12" ht="15" customHeight="1">
      <c r="A56" s="60"/>
      <c r="D56" s="61" t="s">
        <v>216</v>
      </c>
      <c r="E56" s="62"/>
      <c r="G56" s="63">
        <v>71.78800000000001</v>
      </c>
      <c r="L56" s="64"/>
    </row>
    <row r="57" spans="1:12" ht="15" customHeight="1">
      <c r="A57" s="60"/>
      <c r="D57" s="61" t="s">
        <v>217</v>
      </c>
      <c r="E57" s="62"/>
      <c r="G57" s="63">
        <v>70.95400000000001</v>
      </c>
      <c r="L57" s="64"/>
    </row>
    <row r="58" spans="1:12" ht="15" customHeight="1">
      <c r="A58" s="60"/>
      <c r="D58" s="61" t="s">
        <v>218</v>
      </c>
      <c r="E58" s="62"/>
      <c r="G58" s="63">
        <v>17.900000000000002</v>
      </c>
      <c r="L58" s="64"/>
    </row>
    <row r="59" spans="1:12" ht="15" customHeight="1">
      <c r="A59" s="60"/>
      <c r="D59" s="61" t="s">
        <v>219</v>
      </c>
      <c r="E59" s="62"/>
      <c r="G59" s="63">
        <v>46.52</v>
      </c>
      <c r="L59" s="64"/>
    </row>
    <row r="60" spans="1:75" ht="13.5" customHeight="1">
      <c r="A60" s="30" t="s">
        <v>220</v>
      </c>
      <c r="B60" s="3" t="s">
        <v>85</v>
      </c>
      <c r="C60" s="3" t="s">
        <v>221</v>
      </c>
      <c r="D60" s="78" t="s">
        <v>222</v>
      </c>
      <c r="E60" s="78"/>
      <c r="F60" s="3" t="s">
        <v>209</v>
      </c>
      <c r="G60" s="31">
        <v>23.887</v>
      </c>
      <c r="H60" s="31">
        <v>0</v>
      </c>
      <c r="I60" s="31">
        <f>G60*H60</f>
        <v>0</v>
      </c>
      <c r="J60" s="31">
        <v>0.016</v>
      </c>
      <c r="K60" s="31">
        <f>G60*J60</f>
        <v>0.38219200000000003</v>
      </c>
      <c r="L60" s="59" t="s">
        <v>125</v>
      </c>
      <c r="Z60" s="31">
        <f>IF(AQ60="5",BJ60,0)</f>
        <v>0</v>
      </c>
      <c r="AB60" s="31">
        <f>IF(AQ60="1",BH60,0)</f>
        <v>0</v>
      </c>
      <c r="AC60" s="31">
        <f>IF(AQ60="1",BI60,0)</f>
        <v>0</v>
      </c>
      <c r="AD60" s="31">
        <f>IF(AQ60="7",BH60,0)</f>
        <v>0</v>
      </c>
      <c r="AE60" s="31">
        <f>IF(AQ60="7",BI60,0)</f>
        <v>0</v>
      </c>
      <c r="AF60" s="31">
        <f>IF(AQ60="2",BH60,0)</f>
        <v>0</v>
      </c>
      <c r="AG60" s="31">
        <f>IF(AQ60="2",BI60,0)</f>
        <v>0</v>
      </c>
      <c r="AH60" s="31">
        <f>IF(AQ60="0",BJ60,0)</f>
        <v>0</v>
      </c>
      <c r="AI60" s="42" t="s">
        <v>85</v>
      </c>
      <c r="AJ60" s="31">
        <f>IF(AN60=0,I60,0)</f>
        <v>0</v>
      </c>
      <c r="AK60" s="31">
        <f>IF(AN60=12,I60,0)</f>
        <v>0</v>
      </c>
      <c r="AL60" s="31">
        <f>IF(AN60=21,I60,0)</f>
        <v>0</v>
      </c>
      <c r="AN60" s="31">
        <v>21</v>
      </c>
      <c r="AO60" s="31">
        <f>H60*0.0211736968436968</f>
        <v>0</v>
      </c>
      <c r="AP60" s="31">
        <f>H60*(1-0.0211736968436968)</f>
        <v>0</v>
      </c>
      <c r="AQ60" s="32" t="s">
        <v>154</v>
      </c>
      <c r="AV60" s="31">
        <f>AW60+AX60</f>
        <v>0</v>
      </c>
      <c r="AW60" s="31">
        <f>G60*AO60</f>
        <v>0</v>
      </c>
      <c r="AX60" s="31">
        <f>G60*AP60</f>
        <v>0</v>
      </c>
      <c r="AY60" s="32" t="s">
        <v>210</v>
      </c>
      <c r="AZ60" s="32" t="s">
        <v>211</v>
      </c>
      <c r="BA60" s="42" t="s">
        <v>128</v>
      </c>
      <c r="BC60" s="31">
        <f>AW60+AX60</f>
        <v>0</v>
      </c>
      <c r="BD60" s="31">
        <f>H60/(100-BE60)*100</f>
        <v>0</v>
      </c>
      <c r="BE60" s="31">
        <v>0</v>
      </c>
      <c r="BF60" s="31">
        <f>K60</f>
        <v>0.38219200000000003</v>
      </c>
      <c r="BH60" s="31">
        <f>G60*AO60</f>
        <v>0</v>
      </c>
      <c r="BI60" s="31">
        <f>G60*AP60</f>
        <v>0</v>
      </c>
      <c r="BJ60" s="31">
        <f>G60*H60</f>
        <v>0</v>
      </c>
      <c r="BK60" s="31"/>
      <c r="BL60" s="31">
        <v>762</v>
      </c>
      <c r="BW60" s="31">
        <v>21</v>
      </c>
    </row>
    <row r="61" spans="1:12" ht="15" customHeight="1">
      <c r="A61" s="60"/>
      <c r="D61" s="61" t="s">
        <v>223</v>
      </c>
      <c r="E61" s="62"/>
      <c r="G61" s="63">
        <v>17.214000000000002</v>
      </c>
      <c r="L61" s="64"/>
    </row>
    <row r="62" spans="1:12" ht="15" customHeight="1">
      <c r="A62" s="60"/>
      <c r="D62" s="61" t="s">
        <v>224</v>
      </c>
      <c r="E62" s="62"/>
      <c r="G62" s="63">
        <v>6.673000000000001</v>
      </c>
      <c r="L62" s="64"/>
    </row>
    <row r="63" spans="1:75" ht="13.5" customHeight="1">
      <c r="A63" s="30" t="s">
        <v>225</v>
      </c>
      <c r="B63" s="3" t="s">
        <v>85</v>
      </c>
      <c r="C63" s="3" t="s">
        <v>226</v>
      </c>
      <c r="D63" s="78" t="s">
        <v>227</v>
      </c>
      <c r="E63" s="78"/>
      <c r="F63" s="3" t="s">
        <v>209</v>
      </c>
      <c r="G63" s="31">
        <v>9.214</v>
      </c>
      <c r="H63" s="31">
        <v>0</v>
      </c>
      <c r="I63" s="31">
        <f>G63*H63</f>
        <v>0</v>
      </c>
      <c r="J63" s="31">
        <v>0.02491</v>
      </c>
      <c r="K63" s="31">
        <f>G63*J63</f>
        <v>0.22952074000000003</v>
      </c>
      <c r="L63" s="59" t="s">
        <v>125</v>
      </c>
      <c r="Z63" s="31">
        <f>IF(AQ63="5",BJ63,0)</f>
        <v>0</v>
      </c>
      <c r="AB63" s="31">
        <f>IF(AQ63="1",BH63,0)</f>
        <v>0</v>
      </c>
      <c r="AC63" s="31">
        <f>IF(AQ63="1",BI63,0)</f>
        <v>0</v>
      </c>
      <c r="AD63" s="31">
        <f>IF(AQ63="7",BH63,0)</f>
        <v>0</v>
      </c>
      <c r="AE63" s="31">
        <f>IF(AQ63="7",BI63,0)</f>
        <v>0</v>
      </c>
      <c r="AF63" s="31">
        <f>IF(AQ63="2",BH63,0)</f>
        <v>0</v>
      </c>
      <c r="AG63" s="31">
        <f>IF(AQ63="2",BI63,0)</f>
        <v>0</v>
      </c>
      <c r="AH63" s="31">
        <f>IF(AQ63="0",BJ63,0)</f>
        <v>0</v>
      </c>
      <c r="AI63" s="42" t="s">
        <v>85</v>
      </c>
      <c r="AJ63" s="31">
        <f>IF(AN63=0,I63,0)</f>
        <v>0</v>
      </c>
      <c r="AK63" s="31">
        <f>IF(AN63=12,I63,0)</f>
        <v>0</v>
      </c>
      <c r="AL63" s="31">
        <f>IF(AN63=21,I63,0)</f>
        <v>0</v>
      </c>
      <c r="AN63" s="31">
        <v>21</v>
      </c>
      <c r="AO63" s="31">
        <f>H63*0.0195007490974729</f>
        <v>0</v>
      </c>
      <c r="AP63" s="31">
        <f>H63*(1-0.0195007490974729)</f>
        <v>0</v>
      </c>
      <c r="AQ63" s="32" t="s">
        <v>154</v>
      </c>
      <c r="AV63" s="31">
        <f>AW63+AX63</f>
        <v>0</v>
      </c>
      <c r="AW63" s="31">
        <f>G63*AO63</f>
        <v>0</v>
      </c>
      <c r="AX63" s="31">
        <f>G63*AP63</f>
        <v>0</v>
      </c>
      <c r="AY63" s="32" t="s">
        <v>210</v>
      </c>
      <c r="AZ63" s="32" t="s">
        <v>211</v>
      </c>
      <c r="BA63" s="42" t="s">
        <v>128</v>
      </c>
      <c r="BC63" s="31">
        <f>AW63+AX63</f>
        <v>0</v>
      </c>
      <c r="BD63" s="31">
        <f>H63/(100-BE63)*100</f>
        <v>0</v>
      </c>
      <c r="BE63" s="31">
        <v>0</v>
      </c>
      <c r="BF63" s="31">
        <f>K63</f>
        <v>0.22952074000000003</v>
      </c>
      <c r="BH63" s="31">
        <f>G63*AO63</f>
        <v>0</v>
      </c>
      <c r="BI63" s="31">
        <f>G63*AP63</f>
        <v>0</v>
      </c>
      <c r="BJ63" s="31">
        <f>G63*H63</f>
        <v>0</v>
      </c>
      <c r="BK63" s="31"/>
      <c r="BL63" s="31">
        <v>762</v>
      </c>
      <c r="BW63" s="31">
        <v>21</v>
      </c>
    </row>
    <row r="64" spans="1:12" ht="15" customHeight="1">
      <c r="A64" s="60"/>
      <c r="D64" s="61" t="s">
        <v>228</v>
      </c>
      <c r="E64" s="62"/>
      <c r="G64" s="63">
        <v>9.214</v>
      </c>
      <c r="L64" s="64"/>
    </row>
    <row r="65" spans="1:75" ht="13.5" customHeight="1">
      <c r="A65" s="30" t="s">
        <v>229</v>
      </c>
      <c r="B65" s="3" t="s">
        <v>85</v>
      </c>
      <c r="C65" s="3" t="s">
        <v>230</v>
      </c>
      <c r="D65" s="78" t="s">
        <v>231</v>
      </c>
      <c r="E65" s="78"/>
      <c r="F65" s="3" t="s">
        <v>124</v>
      </c>
      <c r="G65" s="31">
        <v>51.616</v>
      </c>
      <c r="H65" s="31">
        <v>0</v>
      </c>
      <c r="I65" s="31">
        <f>G65*H65</f>
        <v>0</v>
      </c>
      <c r="J65" s="31">
        <v>0.015</v>
      </c>
      <c r="K65" s="31">
        <f>G65*J65</f>
        <v>0.7742399999999999</v>
      </c>
      <c r="L65" s="59" t="s">
        <v>125</v>
      </c>
      <c r="Z65" s="31">
        <f>IF(AQ65="5",BJ65,0)</f>
        <v>0</v>
      </c>
      <c r="AB65" s="31">
        <f>IF(AQ65="1",BH65,0)</f>
        <v>0</v>
      </c>
      <c r="AC65" s="31">
        <f>IF(AQ65="1",BI65,0)</f>
        <v>0</v>
      </c>
      <c r="AD65" s="31">
        <f>IF(AQ65="7",BH65,0)</f>
        <v>0</v>
      </c>
      <c r="AE65" s="31">
        <f>IF(AQ65="7",BI65,0)</f>
        <v>0</v>
      </c>
      <c r="AF65" s="31">
        <f>IF(AQ65="2",BH65,0)</f>
        <v>0</v>
      </c>
      <c r="AG65" s="31">
        <f>IF(AQ65="2",BI65,0)</f>
        <v>0</v>
      </c>
      <c r="AH65" s="31">
        <f>IF(AQ65="0",BJ65,0)</f>
        <v>0</v>
      </c>
      <c r="AI65" s="42" t="s">
        <v>85</v>
      </c>
      <c r="AJ65" s="31">
        <f>IF(AN65=0,I65,0)</f>
        <v>0</v>
      </c>
      <c r="AK65" s="31">
        <f>IF(AN65=12,I65,0)</f>
        <v>0</v>
      </c>
      <c r="AL65" s="31">
        <f>IF(AN65=21,I65,0)</f>
        <v>0</v>
      </c>
      <c r="AN65" s="31">
        <v>21</v>
      </c>
      <c r="AO65" s="31">
        <f>H65*0</f>
        <v>0</v>
      </c>
      <c r="AP65" s="31">
        <f>H65*(1-0)</f>
        <v>0</v>
      </c>
      <c r="AQ65" s="32" t="s">
        <v>154</v>
      </c>
      <c r="AV65" s="31">
        <f>AW65+AX65</f>
        <v>0</v>
      </c>
      <c r="AW65" s="31">
        <f>G65*AO65</f>
        <v>0</v>
      </c>
      <c r="AX65" s="31">
        <f>G65*AP65</f>
        <v>0</v>
      </c>
      <c r="AY65" s="32" t="s">
        <v>210</v>
      </c>
      <c r="AZ65" s="32" t="s">
        <v>211</v>
      </c>
      <c r="BA65" s="42" t="s">
        <v>128</v>
      </c>
      <c r="BC65" s="31">
        <f>AW65+AX65</f>
        <v>0</v>
      </c>
      <c r="BD65" s="31">
        <f>H65/(100-BE65)*100</f>
        <v>0</v>
      </c>
      <c r="BE65" s="31">
        <v>0</v>
      </c>
      <c r="BF65" s="31">
        <f>K65</f>
        <v>0.7742399999999999</v>
      </c>
      <c r="BH65" s="31">
        <f>G65*AO65</f>
        <v>0</v>
      </c>
      <c r="BI65" s="31">
        <f>G65*AP65</f>
        <v>0</v>
      </c>
      <c r="BJ65" s="31">
        <f>G65*H65</f>
        <v>0</v>
      </c>
      <c r="BK65" s="31"/>
      <c r="BL65" s="31">
        <v>762</v>
      </c>
      <c r="BW65" s="31">
        <v>21</v>
      </c>
    </row>
    <row r="66" spans="1:12" ht="15" customHeight="1">
      <c r="A66" s="60"/>
      <c r="D66" s="61" t="s">
        <v>232</v>
      </c>
      <c r="E66" s="62"/>
      <c r="G66" s="63">
        <v>17.200000000000003</v>
      </c>
      <c r="L66" s="64"/>
    </row>
    <row r="67" spans="1:12" ht="15" customHeight="1">
      <c r="A67" s="60"/>
      <c r="D67" s="61" t="s">
        <v>233</v>
      </c>
      <c r="E67" s="62"/>
      <c r="G67" s="63">
        <v>34.416000000000004</v>
      </c>
      <c r="L67" s="64"/>
    </row>
    <row r="68" spans="1:75" ht="13.5" customHeight="1">
      <c r="A68" s="30" t="s">
        <v>234</v>
      </c>
      <c r="B68" s="3" t="s">
        <v>85</v>
      </c>
      <c r="C68" s="3" t="s">
        <v>235</v>
      </c>
      <c r="D68" s="78" t="s">
        <v>236</v>
      </c>
      <c r="E68" s="78"/>
      <c r="F68" s="3" t="s">
        <v>124</v>
      </c>
      <c r="G68" s="31">
        <v>542.994</v>
      </c>
      <c r="H68" s="31">
        <v>0</v>
      </c>
      <c r="I68" s="31">
        <f>G68*H68</f>
        <v>0</v>
      </c>
      <c r="J68" s="31">
        <v>0.007</v>
      </c>
      <c r="K68" s="31">
        <f>G68*J68</f>
        <v>3.800958</v>
      </c>
      <c r="L68" s="59" t="s">
        <v>125</v>
      </c>
      <c r="Z68" s="31">
        <f>IF(AQ68="5",BJ68,0)</f>
        <v>0</v>
      </c>
      <c r="AB68" s="31">
        <f>IF(AQ68="1",BH68,0)</f>
        <v>0</v>
      </c>
      <c r="AC68" s="31">
        <f>IF(AQ68="1",BI68,0)</f>
        <v>0</v>
      </c>
      <c r="AD68" s="31">
        <f>IF(AQ68="7",BH68,0)</f>
        <v>0</v>
      </c>
      <c r="AE68" s="31">
        <f>IF(AQ68="7",BI68,0)</f>
        <v>0</v>
      </c>
      <c r="AF68" s="31">
        <f>IF(AQ68="2",BH68,0)</f>
        <v>0</v>
      </c>
      <c r="AG68" s="31">
        <f>IF(AQ68="2",BI68,0)</f>
        <v>0</v>
      </c>
      <c r="AH68" s="31">
        <f>IF(AQ68="0",BJ68,0)</f>
        <v>0</v>
      </c>
      <c r="AI68" s="42" t="s">
        <v>85</v>
      </c>
      <c r="AJ68" s="31">
        <f>IF(AN68=0,I68,0)</f>
        <v>0</v>
      </c>
      <c r="AK68" s="31">
        <f>IF(AN68=12,I68,0)</f>
        <v>0</v>
      </c>
      <c r="AL68" s="31">
        <f>IF(AN68=21,I68,0)</f>
        <v>0</v>
      </c>
      <c r="AN68" s="31">
        <v>21</v>
      </c>
      <c r="AO68" s="31">
        <f>H68*0</f>
        <v>0</v>
      </c>
      <c r="AP68" s="31">
        <f>H68*(1-0)</f>
        <v>0</v>
      </c>
      <c r="AQ68" s="32" t="s">
        <v>154</v>
      </c>
      <c r="AV68" s="31">
        <f>AW68+AX68</f>
        <v>0</v>
      </c>
      <c r="AW68" s="31">
        <f>G68*AO68</f>
        <v>0</v>
      </c>
      <c r="AX68" s="31">
        <f>G68*AP68</f>
        <v>0</v>
      </c>
      <c r="AY68" s="32" t="s">
        <v>210</v>
      </c>
      <c r="AZ68" s="32" t="s">
        <v>211</v>
      </c>
      <c r="BA68" s="42" t="s">
        <v>128</v>
      </c>
      <c r="BC68" s="31">
        <f>AW68+AX68</f>
        <v>0</v>
      </c>
      <c r="BD68" s="31">
        <f>H68/(100-BE68)*100</f>
        <v>0</v>
      </c>
      <c r="BE68" s="31">
        <v>0</v>
      </c>
      <c r="BF68" s="31">
        <f>K68</f>
        <v>3.800958</v>
      </c>
      <c r="BH68" s="31">
        <f>G68*AO68</f>
        <v>0</v>
      </c>
      <c r="BI68" s="31">
        <f>G68*AP68</f>
        <v>0</v>
      </c>
      <c r="BJ68" s="31">
        <f>G68*H68</f>
        <v>0</v>
      </c>
      <c r="BK68" s="31"/>
      <c r="BL68" s="31">
        <v>762</v>
      </c>
      <c r="BW68" s="31">
        <v>21</v>
      </c>
    </row>
    <row r="69" spans="1:12" ht="15" customHeight="1">
      <c r="A69" s="60"/>
      <c r="D69" s="61" t="s">
        <v>237</v>
      </c>
      <c r="E69" s="62"/>
      <c r="G69" s="63">
        <v>542.994</v>
      </c>
      <c r="L69" s="64"/>
    </row>
    <row r="70" spans="1:75" ht="13.5" customHeight="1">
      <c r="A70" s="30" t="s">
        <v>238</v>
      </c>
      <c r="B70" s="3" t="s">
        <v>85</v>
      </c>
      <c r="C70" s="3" t="s">
        <v>239</v>
      </c>
      <c r="D70" s="78" t="s">
        <v>240</v>
      </c>
      <c r="E70" s="78"/>
      <c r="F70" s="3" t="s">
        <v>241</v>
      </c>
      <c r="G70" s="31">
        <v>16.393</v>
      </c>
      <c r="H70" s="31">
        <v>0</v>
      </c>
      <c r="I70" s="31">
        <f>G70*H70</f>
        <v>0</v>
      </c>
      <c r="J70" s="31">
        <v>0.0165</v>
      </c>
      <c r="K70" s="31">
        <f>G70*J70</f>
        <v>0.2704845</v>
      </c>
      <c r="L70" s="59" t="s">
        <v>125</v>
      </c>
      <c r="Z70" s="31">
        <f>IF(AQ70="5",BJ70,0)</f>
        <v>0</v>
      </c>
      <c r="AB70" s="31">
        <f>IF(AQ70="1",BH70,0)</f>
        <v>0</v>
      </c>
      <c r="AC70" s="31">
        <f>IF(AQ70="1",BI70,0)</f>
        <v>0</v>
      </c>
      <c r="AD70" s="31">
        <f>IF(AQ70="7",BH70,0)</f>
        <v>0</v>
      </c>
      <c r="AE70" s="31">
        <f>IF(AQ70="7",BI70,0)</f>
        <v>0</v>
      </c>
      <c r="AF70" s="31">
        <f>IF(AQ70="2",BH70,0)</f>
        <v>0</v>
      </c>
      <c r="AG70" s="31">
        <f>IF(AQ70="2",BI70,0)</f>
        <v>0</v>
      </c>
      <c r="AH70" s="31">
        <f>IF(AQ70="0",BJ70,0)</f>
        <v>0</v>
      </c>
      <c r="AI70" s="42" t="s">
        <v>85</v>
      </c>
      <c r="AJ70" s="31">
        <f>IF(AN70=0,I70,0)</f>
        <v>0</v>
      </c>
      <c r="AK70" s="31">
        <f>IF(AN70=12,I70,0)</f>
        <v>0</v>
      </c>
      <c r="AL70" s="31">
        <f>IF(AN70=21,I70,0)</f>
        <v>0</v>
      </c>
      <c r="AN70" s="31">
        <v>21</v>
      </c>
      <c r="AO70" s="31">
        <f>H70*0.988435037543211</f>
        <v>0</v>
      </c>
      <c r="AP70" s="31">
        <f>H70*(1-0.988435037543211)</f>
        <v>0</v>
      </c>
      <c r="AQ70" s="32" t="s">
        <v>154</v>
      </c>
      <c r="AV70" s="31">
        <f>AW70+AX70</f>
        <v>0</v>
      </c>
      <c r="AW70" s="31">
        <f>G70*AO70</f>
        <v>0</v>
      </c>
      <c r="AX70" s="31">
        <f>G70*AP70</f>
        <v>0</v>
      </c>
      <c r="AY70" s="32" t="s">
        <v>210</v>
      </c>
      <c r="AZ70" s="32" t="s">
        <v>211</v>
      </c>
      <c r="BA70" s="42" t="s">
        <v>128</v>
      </c>
      <c r="BC70" s="31">
        <f>AW70+AX70</f>
        <v>0</v>
      </c>
      <c r="BD70" s="31">
        <f>H70/(100-BE70)*100</f>
        <v>0</v>
      </c>
      <c r="BE70" s="31">
        <v>0</v>
      </c>
      <c r="BF70" s="31">
        <f>K70</f>
        <v>0.2704845</v>
      </c>
      <c r="BH70" s="31">
        <f>G70*AO70</f>
        <v>0</v>
      </c>
      <c r="BI70" s="31">
        <f>G70*AP70</f>
        <v>0</v>
      </c>
      <c r="BJ70" s="31">
        <f>G70*H70</f>
        <v>0</v>
      </c>
      <c r="BK70" s="31"/>
      <c r="BL70" s="31">
        <v>762</v>
      </c>
      <c r="BW70" s="31">
        <v>21</v>
      </c>
    </row>
    <row r="71" spans="1:12" ht="15" customHeight="1">
      <c r="A71" s="60"/>
      <c r="D71" s="61" t="s">
        <v>242</v>
      </c>
      <c r="E71" s="62"/>
      <c r="G71" s="63">
        <v>16.393</v>
      </c>
      <c r="L71" s="64"/>
    </row>
    <row r="72" spans="1:75" ht="13.5" customHeight="1">
      <c r="A72" s="30" t="s">
        <v>243</v>
      </c>
      <c r="B72" s="3" t="s">
        <v>85</v>
      </c>
      <c r="C72" s="3" t="s">
        <v>244</v>
      </c>
      <c r="D72" s="78" t="s">
        <v>245</v>
      </c>
      <c r="E72" s="78"/>
      <c r="F72" s="3" t="s">
        <v>209</v>
      </c>
      <c r="G72" s="31">
        <v>399.643</v>
      </c>
      <c r="H72" s="31">
        <v>0</v>
      </c>
      <c r="I72" s="31">
        <f>G72*H72</f>
        <v>0</v>
      </c>
      <c r="J72" s="31">
        <v>0.00099</v>
      </c>
      <c r="K72" s="31">
        <f>G72*J72</f>
        <v>0.39564657</v>
      </c>
      <c r="L72" s="59" t="s">
        <v>125</v>
      </c>
      <c r="Z72" s="31">
        <f>IF(AQ72="5",BJ72,0)</f>
        <v>0</v>
      </c>
      <c r="AB72" s="31">
        <f>IF(AQ72="1",BH72,0)</f>
        <v>0</v>
      </c>
      <c r="AC72" s="31">
        <f>IF(AQ72="1",BI72,0)</f>
        <v>0</v>
      </c>
      <c r="AD72" s="31">
        <f>IF(AQ72="7",BH72,0)</f>
        <v>0</v>
      </c>
      <c r="AE72" s="31">
        <f>IF(AQ72="7",BI72,0)</f>
        <v>0</v>
      </c>
      <c r="AF72" s="31">
        <f>IF(AQ72="2",BH72,0)</f>
        <v>0</v>
      </c>
      <c r="AG72" s="31">
        <f>IF(AQ72="2",BI72,0)</f>
        <v>0</v>
      </c>
      <c r="AH72" s="31">
        <f>IF(AQ72="0",BJ72,0)</f>
        <v>0</v>
      </c>
      <c r="AI72" s="42" t="s">
        <v>85</v>
      </c>
      <c r="AJ72" s="31">
        <f>IF(AN72=0,I72,0)</f>
        <v>0</v>
      </c>
      <c r="AK72" s="31">
        <f>IF(AN72=12,I72,0)</f>
        <v>0</v>
      </c>
      <c r="AL72" s="31">
        <f>IF(AN72=21,I72,0)</f>
        <v>0</v>
      </c>
      <c r="AN72" s="31">
        <v>21</v>
      </c>
      <c r="AO72" s="31">
        <f>H72*0.0340533897362593</f>
        <v>0</v>
      </c>
      <c r="AP72" s="31">
        <f>H72*(1-0.0340533897362593)</f>
        <v>0</v>
      </c>
      <c r="AQ72" s="32" t="s">
        <v>154</v>
      </c>
      <c r="AV72" s="31">
        <f>AW72+AX72</f>
        <v>0</v>
      </c>
      <c r="AW72" s="31">
        <f>G72*AO72</f>
        <v>0</v>
      </c>
      <c r="AX72" s="31">
        <f>G72*AP72</f>
        <v>0</v>
      </c>
      <c r="AY72" s="32" t="s">
        <v>210</v>
      </c>
      <c r="AZ72" s="32" t="s">
        <v>211</v>
      </c>
      <c r="BA72" s="42" t="s">
        <v>128</v>
      </c>
      <c r="BC72" s="31">
        <f>AW72+AX72</f>
        <v>0</v>
      </c>
      <c r="BD72" s="31">
        <f>H72/(100-BE72)*100</f>
        <v>0</v>
      </c>
      <c r="BE72" s="31">
        <v>0</v>
      </c>
      <c r="BF72" s="31">
        <f>K72</f>
        <v>0.39564657</v>
      </c>
      <c r="BH72" s="31">
        <f>G72*AO72</f>
        <v>0</v>
      </c>
      <c r="BI72" s="31">
        <f>G72*AP72</f>
        <v>0</v>
      </c>
      <c r="BJ72" s="31">
        <f>G72*H72</f>
        <v>0</v>
      </c>
      <c r="BK72" s="31"/>
      <c r="BL72" s="31">
        <v>762</v>
      </c>
      <c r="BW72" s="31">
        <v>21</v>
      </c>
    </row>
    <row r="73" spans="1:12" ht="15" customHeight="1">
      <c r="A73" s="60"/>
      <c r="D73" s="61" t="s">
        <v>246</v>
      </c>
      <c r="E73" s="62"/>
      <c r="G73" s="63">
        <v>399.64300000000003</v>
      </c>
      <c r="L73" s="64"/>
    </row>
    <row r="74" spans="1:75" ht="13.5" customHeight="1">
      <c r="A74" s="30" t="s">
        <v>247</v>
      </c>
      <c r="B74" s="3" t="s">
        <v>85</v>
      </c>
      <c r="C74" s="3" t="s">
        <v>248</v>
      </c>
      <c r="D74" s="78" t="s">
        <v>249</v>
      </c>
      <c r="E74" s="78"/>
      <c r="F74" s="3" t="s">
        <v>241</v>
      </c>
      <c r="G74" s="31">
        <v>5.89755</v>
      </c>
      <c r="H74" s="31">
        <v>0</v>
      </c>
      <c r="I74" s="31">
        <f>G74*H74</f>
        <v>0</v>
      </c>
      <c r="J74" s="31">
        <v>0.55</v>
      </c>
      <c r="K74" s="31">
        <f>G74*J74</f>
        <v>3.2436525</v>
      </c>
      <c r="L74" s="59" t="s">
        <v>125</v>
      </c>
      <c r="Z74" s="31">
        <f>IF(AQ74="5",BJ74,0)</f>
        <v>0</v>
      </c>
      <c r="AB74" s="31">
        <f>IF(AQ74="1",BH74,0)</f>
        <v>0</v>
      </c>
      <c r="AC74" s="31">
        <f>IF(AQ74="1",BI74,0)</f>
        <v>0</v>
      </c>
      <c r="AD74" s="31">
        <f>IF(AQ74="7",BH74,0)</f>
        <v>0</v>
      </c>
      <c r="AE74" s="31">
        <f>IF(AQ74="7",BI74,0)</f>
        <v>0</v>
      </c>
      <c r="AF74" s="31">
        <f>IF(AQ74="2",BH74,0)</f>
        <v>0</v>
      </c>
      <c r="AG74" s="31">
        <f>IF(AQ74="2",BI74,0)</f>
        <v>0</v>
      </c>
      <c r="AH74" s="31">
        <f>IF(AQ74="0",BJ74,0)</f>
        <v>0</v>
      </c>
      <c r="AI74" s="42" t="s">
        <v>85</v>
      </c>
      <c r="AJ74" s="31">
        <f>IF(AN74=0,I74,0)</f>
        <v>0</v>
      </c>
      <c r="AK74" s="31">
        <f>IF(AN74=12,I74,0)</f>
        <v>0</v>
      </c>
      <c r="AL74" s="31">
        <f>IF(AN74=21,I74,0)</f>
        <v>0</v>
      </c>
      <c r="AN74" s="31">
        <v>21</v>
      </c>
      <c r="AO74" s="31">
        <f>H74*1</f>
        <v>0</v>
      </c>
      <c r="AP74" s="31">
        <f>H74*(1-1)</f>
        <v>0</v>
      </c>
      <c r="AQ74" s="32" t="s">
        <v>154</v>
      </c>
      <c r="AV74" s="31">
        <f>AW74+AX74</f>
        <v>0</v>
      </c>
      <c r="AW74" s="31">
        <f>G74*AO74</f>
        <v>0</v>
      </c>
      <c r="AX74" s="31">
        <f>G74*AP74</f>
        <v>0</v>
      </c>
      <c r="AY74" s="32" t="s">
        <v>210</v>
      </c>
      <c r="AZ74" s="32" t="s">
        <v>211</v>
      </c>
      <c r="BA74" s="42" t="s">
        <v>128</v>
      </c>
      <c r="BC74" s="31">
        <f>AW74+AX74</f>
        <v>0</v>
      </c>
      <c r="BD74" s="31">
        <f>H74/(100-BE74)*100</f>
        <v>0</v>
      </c>
      <c r="BE74" s="31">
        <v>0</v>
      </c>
      <c r="BF74" s="31">
        <f>K74</f>
        <v>3.2436525</v>
      </c>
      <c r="BH74" s="31">
        <f>G74*AO74</f>
        <v>0</v>
      </c>
      <c r="BI74" s="31">
        <f>G74*AP74</f>
        <v>0</v>
      </c>
      <c r="BJ74" s="31">
        <f>G74*H74</f>
        <v>0</v>
      </c>
      <c r="BK74" s="31"/>
      <c r="BL74" s="31">
        <v>762</v>
      </c>
      <c r="BW74" s="31">
        <v>21</v>
      </c>
    </row>
    <row r="75" spans="1:12" ht="15" customHeight="1">
      <c r="A75" s="60"/>
      <c r="D75" s="61" t="s">
        <v>250</v>
      </c>
      <c r="E75" s="62"/>
      <c r="G75" s="63">
        <v>0.34596000000000005</v>
      </c>
      <c r="L75" s="64"/>
    </row>
    <row r="76" spans="1:12" ht="15" customHeight="1">
      <c r="A76" s="60"/>
      <c r="D76" s="61" t="s">
        <v>251</v>
      </c>
      <c r="E76" s="62"/>
      <c r="G76" s="63">
        <v>0.51563</v>
      </c>
      <c r="L76" s="64"/>
    </row>
    <row r="77" spans="1:12" ht="15" customHeight="1">
      <c r="A77" s="60"/>
      <c r="D77" s="61" t="s">
        <v>252</v>
      </c>
      <c r="E77" s="62"/>
      <c r="G77" s="63">
        <v>0.9224000000000001</v>
      </c>
      <c r="L77" s="64"/>
    </row>
    <row r="78" spans="1:12" ht="15" customHeight="1">
      <c r="A78" s="60"/>
      <c r="D78" s="61" t="s">
        <v>253</v>
      </c>
      <c r="E78" s="62"/>
      <c r="G78" s="63">
        <v>0.93288</v>
      </c>
      <c r="L78" s="64"/>
    </row>
    <row r="79" spans="1:12" ht="15" customHeight="1">
      <c r="A79" s="60"/>
      <c r="D79" s="61" t="s">
        <v>254</v>
      </c>
      <c r="E79" s="62"/>
      <c r="G79" s="63">
        <v>0.23270000000000002</v>
      </c>
      <c r="L79" s="64"/>
    </row>
    <row r="80" spans="1:12" ht="15" customHeight="1">
      <c r="A80" s="60"/>
      <c r="D80" s="61" t="s">
        <v>255</v>
      </c>
      <c r="E80" s="62"/>
      <c r="G80" s="63">
        <v>0.80205</v>
      </c>
      <c r="L80" s="64"/>
    </row>
    <row r="81" spans="1:12" ht="15" customHeight="1">
      <c r="A81" s="60"/>
      <c r="D81" s="61" t="s">
        <v>256</v>
      </c>
      <c r="E81" s="62"/>
      <c r="G81" s="63">
        <v>0.6047600000000001</v>
      </c>
      <c r="L81" s="64"/>
    </row>
    <row r="82" spans="1:12" ht="15" customHeight="1">
      <c r="A82" s="60"/>
      <c r="D82" s="61" t="s">
        <v>257</v>
      </c>
      <c r="E82" s="62"/>
      <c r="G82" s="63">
        <v>1.00503</v>
      </c>
      <c r="L82" s="64"/>
    </row>
    <row r="83" spans="1:12" ht="15" customHeight="1">
      <c r="A83" s="60"/>
      <c r="D83" s="61" t="s">
        <v>258</v>
      </c>
      <c r="E83" s="62"/>
      <c r="G83" s="63">
        <v>0.5361400000000001</v>
      </c>
      <c r="L83" s="64"/>
    </row>
    <row r="84" spans="1:75" ht="13.5" customHeight="1">
      <c r="A84" s="30" t="s">
        <v>259</v>
      </c>
      <c r="B84" s="3" t="s">
        <v>85</v>
      </c>
      <c r="C84" s="3" t="s">
        <v>260</v>
      </c>
      <c r="D84" s="78" t="s">
        <v>261</v>
      </c>
      <c r="E84" s="78"/>
      <c r="F84" s="3" t="s">
        <v>209</v>
      </c>
      <c r="G84" s="31">
        <v>23.887</v>
      </c>
      <c r="H84" s="31">
        <v>0</v>
      </c>
      <c r="I84" s="31">
        <f>G84*H84</f>
        <v>0</v>
      </c>
      <c r="J84" s="31">
        <v>0.00099</v>
      </c>
      <c r="K84" s="31">
        <f>G84*J84</f>
        <v>0.02364813</v>
      </c>
      <c r="L84" s="59" t="s">
        <v>125</v>
      </c>
      <c r="Z84" s="31">
        <f>IF(AQ84="5",BJ84,0)</f>
        <v>0</v>
      </c>
      <c r="AB84" s="31">
        <f>IF(AQ84="1",BH84,0)</f>
        <v>0</v>
      </c>
      <c r="AC84" s="31">
        <f>IF(AQ84="1",BI84,0)</f>
        <v>0</v>
      </c>
      <c r="AD84" s="31">
        <f>IF(AQ84="7",BH84,0)</f>
        <v>0</v>
      </c>
      <c r="AE84" s="31">
        <f>IF(AQ84="7",BI84,0)</f>
        <v>0</v>
      </c>
      <c r="AF84" s="31">
        <f>IF(AQ84="2",BH84,0)</f>
        <v>0</v>
      </c>
      <c r="AG84" s="31">
        <f>IF(AQ84="2",BI84,0)</f>
        <v>0</v>
      </c>
      <c r="AH84" s="31">
        <f>IF(AQ84="0",BJ84,0)</f>
        <v>0</v>
      </c>
      <c r="AI84" s="42" t="s">
        <v>85</v>
      </c>
      <c r="AJ84" s="31">
        <f>IF(AN84=0,I84,0)</f>
        <v>0</v>
      </c>
      <c r="AK84" s="31">
        <f>IF(AN84=12,I84,0)</f>
        <v>0</v>
      </c>
      <c r="AL84" s="31">
        <f>IF(AN84=21,I84,0)</f>
        <v>0</v>
      </c>
      <c r="AN84" s="31">
        <v>21</v>
      </c>
      <c r="AO84" s="31">
        <f>H84*0.026683662989526</f>
        <v>0</v>
      </c>
      <c r="AP84" s="31">
        <f>H84*(1-0.026683662989526)</f>
        <v>0</v>
      </c>
      <c r="AQ84" s="32" t="s">
        <v>154</v>
      </c>
      <c r="AV84" s="31">
        <f>AW84+AX84</f>
        <v>0</v>
      </c>
      <c r="AW84" s="31">
        <f>G84*AO84</f>
        <v>0</v>
      </c>
      <c r="AX84" s="31">
        <f>G84*AP84</f>
        <v>0</v>
      </c>
      <c r="AY84" s="32" t="s">
        <v>210</v>
      </c>
      <c r="AZ84" s="32" t="s">
        <v>211</v>
      </c>
      <c r="BA84" s="42" t="s">
        <v>128</v>
      </c>
      <c r="BC84" s="31">
        <f>AW84+AX84</f>
        <v>0</v>
      </c>
      <c r="BD84" s="31">
        <f>H84/(100-BE84)*100</f>
        <v>0</v>
      </c>
      <c r="BE84" s="31">
        <v>0</v>
      </c>
      <c r="BF84" s="31">
        <f>K84</f>
        <v>0.02364813</v>
      </c>
      <c r="BH84" s="31">
        <f>G84*AO84</f>
        <v>0</v>
      </c>
      <c r="BI84" s="31">
        <f>G84*AP84</f>
        <v>0</v>
      </c>
      <c r="BJ84" s="31">
        <f>G84*H84</f>
        <v>0</v>
      </c>
      <c r="BK84" s="31"/>
      <c r="BL84" s="31">
        <v>762</v>
      </c>
      <c r="BW84" s="31">
        <v>21</v>
      </c>
    </row>
    <row r="85" spans="1:12" ht="15" customHeight="1">
      <c r="A85" s="60"/>
      <c r="D85" s="61" t="s">
        <v>262</v>
      </c>
      <c r="E85" s="62"/>
      <c r="G85" s="63">
        <v>17.214000000000002</v>
      </c>
      <c r="L85" s="64"/>
    </row>
    <row r="86" spans="1:12" ht="15" customHeight="1">
      <c r="A86" s="60"/>
      <c r="D86" s="61" t="s">
        <v>263</v>
      </c>
      <c r="E86" s="62"/>
      <c r="G86" s="63">
        <v>6.673000000000001</v>
      </c>
      <c r="L86" s="64"/>
    </row>
    <row r="87" spans="1:75" ht="13.5" customHeight="1">
      <c r="A87" s="30" t="s">
        <v>264</v>
      </c>
      <c r="B87" s="3" t="s">
        <v>85</v>
      </c>
      <c r="C87" s="3" t="s">
        <v>265</v>
      </c>
      <c r="D87" s="78" t="s">
        <v>266</v>
      </c>
      <c r="E87" s="78"/>
      <c r="F87" s="3" t="s">
        <v>241</v>
      </c>
      <c r="G87" s="31">
        <v>0.67445</v>
      </c>
      <c r="H87" s="31">
        <v>0</v>
      </c>
      <c r="I87" s="31">
        <f>G87*H87</f>
        <v>0</v>
      </c>
      <c r="J87" s="31">
        <v>0.55</v>
      </c>
      <c r="K87" s="31">
        <f>G87*J87</f>
        <v>0.37094750000000004</v>
      </c>
      <c r="L87" s="59" t="s">
        <v>125</v>
      </c>
      <c r="Z87" s="31">
        <f>IF(AQ87="5",BJ87,0)</f>
        <v>0</v>
      </c>
      <c r="AB87" s="31">
        <f>IF(AQ87="1",BH87,0)</f>
        <v>0</v>
      </c>
      <c r="AC87" s="31">
        <f>IF(AQ87="1",BI87,0)</f>
        <v>0</v>
      </c>
      <c r="AD87" s="31">
        <f>IF(AQ87="7",BH87,0)</f>
        <v>0</v>
      </c>
      <c r="AE87" s="31">
        <f>IF(AQ87="7",BI87,0)</f>
        <v>0</v>
      </c>
      <c r="AF87" s="31">
        <f>IF(AQ87="2",BH87,0)</f>
        <v>0</v>
      </c>
      <c r="AG87" s="31">
        <f>IF(AQ87="2",BI87,0)</f>
        <v>0</v>
      </c>
      <c r="AH87" s="31">
        <f>IF(AQ87="0",BJ87,0)</f>
        <v>0</v>
      </c>
      <c r="AI87" s="42" t="s">
        <v>85</v>
      </c>
      <c r="AJ87" s="31">
        <f>IF(AN87=0,I87,0)</f>
        <v>0</v>
      </c>
      <c r="AK87" s="31">
        <f>IF(AN87=12,I87,0)</f>
        <v>0</v>
      </c>
      <c r="AL87" s="31">
        <f>IF(AN87=21,I87,0)</f>
        <v>0</v>
      </c>
      <c r="AN87" s="31">
        <v>21</v>
      </c>
      <c r="AO87" s="31">
        <f>H87*1</f>
        <v>0</v>
      </c>
      <c r="AP87" s="31">
        <f>H87*(1-1)</f>
        <v>0</v>
      </c>
      <c r="AQ87" s="32" t="s">
        <v>154</v>
      </c>
      <c r="AV87" s="31">
        <f>AW87+AX87</f>
        <v>0</v>
      </c>
      <c r="AW87" s="31">
        <f>G87*AO87</f>
        <v>0</v>
      </c>
      <c r="AX87" s="31">
        <f>G87*AP87</f>
        <v>0</v>
      </c>
      <c r="AY87" s="32" t="s">
        <v>210</v>
      </c>
      <c r="AZ87" s="32" t="s">
        <v>211</v>
      </c>
      <c r="BA87" s="42" t="s">
        <v>128</v>
      </c>
      <c r="BC87" s="31">
        <f>AW87+AX87</f>
        <v>0</v>
      </c>
      <c r="BD87" s="31">
        <f>H87/(100-BE87)*100</f>
        <v>0</v>
      </c>
      <c r="BE87" s="31">
        <v>0</v>
      </c>
      <c r="BF87" s="31">
        <f>K87</f>
        <v>0.37094750000000004</v>
      </c>
      <c r="BH87" s="31">
        <f>G87*AO87</f>
        <v>0</v>
      </c>
      <c r="BI87" s="31">
        <f>G87*AP87</f>
        <v>0</v>
      </c>
      <c r="BJ87" s="31">
        <f>G87*H87</f>
        <v>0</v>
      </c>
      <c r="BK87" s="31"/>
      <c r="BL87" s="31">
        <v>762</v>
      </c>
      <c r="BW87" s="31">
        <v>21</v>
      </c>
    </row>
    <row r="88" spans="1:12" ht="15" customHeight="1">
      <c r="A88" s="60"/>
      <c r="D88" s="61" t="s">
        <v>267</v>
      </c>
      <c r="E88" s="62"/>
      <c r="G88" s="63">
        <v>0.43379</v>
      </c>
      <c r="L88" s="64"/>
    </row>
    <row r="89" spans="1:12" ht="15" customHeight="1">
      <c r="A89" s="60"/>
      <c r="D89" s="61" t="s">
        <v>268</v>
      </c>
      <c r="E89" s="62"/>
      <c r="G89" s="63">
        <v>0.17935</v>
      </c>
      <c r="L89" s="64"/>
    </row>
    <row r="90" spans="1:12" ht="15" customHeight="1">
      <c r="A90" s="60"/>
      <c r="D90" s="61" t="s">
        <v>269</v>
      </c>
      <c r="E90" s="62"/>
      <c r="G90" s="63">
        <v>0.06131</v>
      </c>
      <c r="L90" s="64"/>
    </row>
    <row r="91" spans="1:75" ht="13.5" customHeight="1">
      <c r="A91" s="30" t="s">
        <v>270</v>
      </c>
      <c r="B91" s="3" t="s">
        <v>85</v>
      </c>
      <c r="C91" s="3" t="s">
        <v>271</v>
      </c>
      <c r="D91" s="78" t="s">
        <v>272</v>
      </c>
      <c r="E91" s="78"/>
      <c r="F91" s="3" t="s">
        <v>209</v>
      </c>
      <c r="G91" s="31">
        <v>9.214</v>
      </c>
      <c r="H91" s="31">
        <v>0</v>
      </c>
      <c r="I91" s="31">
        <f>G91*H91</f>
        <v>0</v>
      </c>
      <c r="J91" s="31">
        <v>0.00099</v>
      </c>
      <c r="K91" s="31">
        <f>G91*J91</f>
        <v>0.00912186</v>
      </c>
      <c r="L91" s="59" t="s">
        <v>125</v>
      </c>
      <c r="Z91" s="31">
        <f>IF(AQ91="5",BJ91,0)</f>
        <v>0</v>
      </c>
      <c r="AB91" s="31">
        <f>IF(AQ91="1",BH91,0)</f>
        <v>0</v>
      </c>
      <c r="AC91" s="31">
        <f>IF(AQ91="1",BI91,0)</f>
        <v>0</v>
      </c>
      <c r="AD91" s="31">
        <f>IF(AQ91="7",BH91,0)</f>
        <v>0</v>
      </c>
      <c r="AE91" s="31">
        <f>IF(AQ91="7",BI91,0)</f>
        <v>0</v>
      </c>
      <c r="AF91" s="31">
        <f>IF(AQ91="2",BH91,0)</f>
        <v>0</v>
      </c>
      <c r="AG91" s="31">
        <f>IF(AQ91="2",BI91,0)</f>
        <v>0</v>
      </c>
      <c r="AH91" s="31">
        <f>IF(AQ91="0",BJ91,0)</f>
        <v>0</v>
      </c>
      <c r="AI91" s="42" t="s">
        <v>85</v>
      </c>
      <c r="AJ91" s="31">
        <f>IF(AN91=0,I91,0)</f>
        <v>0</v>
      </c>
      <c r="AK91" s="31">
        <f>IF(AN91=12,I91,0)</f>
        <v>0</v>
      </c>
      <c r="AL91" s="31">
        <f>IF(AN91=21,I91,0)</f>
        <v>0</v>
      </c>
      <c r="AN91" s="31">
        <v>21</v>
      </c>
      <c r="AO91" s="31">
        <f>H91*0.0246337087876844</f>
        <v>0</v>
      </c>
      <c r="AP91" s="31">
        <f>H91*(1-0.0246337087876844)</f>
        <v>0</v>
      </c>
      <c r="AQ91" s="32" t="s">
        <v>154</v>
      </c>
      <c r="AV91" s="31">
        <f>AW91+AX91</f>
        <v>0</v>
      </c>
      <c r="AW91" s="31">
        <f>G91*AO91</f>
        <v>0</v>
      </c>
      <c r="AX91" s="31">
        <f>G91*AP91</f>
        <v>0</v>
      </c>
      <c r="AY91" s="32" t="s">
        <v>210</v>
      </c>
      <c r="AZ91" s="32" t="s">
        <v>211</v>
      </c>
      <c r="BA91" s="42" t="s">
        <v>128</v>
      </c>
      <c r="BC91" s="31">
        <f>AW91+AX91</f>
        <v>0</v>
      </c>
      <c r="BD91" s="31">
        <f>H91/(100-BE91)*100</f>
        <v>0</v>
      </c>
      <c r="BE91" s="31">
        <v>0</v>
      </c>
      <c r="BF91" s="31">
        <f>K91</f>
        <v>0.00912186</v>
      </c>
      <c r="BH91" s="31">
        <f>G91*AO91</f>
        <v>0</v>
      </c>
      <c r="BI91" s="31">
        <f>G91*AP91</f>
        <v>0</v>
      </c>
      <c r="BJ91" s="31">
        <f>G91*H91</f>
        <v>0</v>
      </c>
      <c r="BK91" s="31"/>
      <c r="BL91" s="31">
        <v>762</v>
      </c>
      <c r="BW91" s="31">
        <v>21</v>
      </c>
    </row>
    <row r="92" spans="1:12" ht="15" customHeight="1">
      <c r="A92" s="60"/>
      <c r="D92" s="61" t="s">
        <v>273</v>
      </c>
      <c r="E92" s="62"/>
      <c r="G92" s="63">
        <v>9.214</v>
      </c>
      <c r="L92" s="64"/>
    </row>
    <row r="93" spans="1:75" ht="13.5" customHeight="1">
      <c r="A93" s="30" t="s">
        <v>274</v>
      </c>
      <c r="B93" s="3" t="s">
        <v>85</v>
      </c>
      <c r="C93" s="3" t="s">
        <v>275</v>
      </c>
      <c r="D93" s="78" t="s">
        <v>276</v>
      </c>
      <c r="E93" s="78"/>
      <c r="F93" s="3" t="s">
        <v>241</v>
      </c>
      <c r="G93" s="31">
        <v>0.41961</v>
      </c>
      <c r="H93" s="31">
        <v>0</v>
      </c>
      <c r="I93" s="31">
        <f>G93*H93</f>
        <v>0</v>
      </c>
      <c r="J93" s="31">
        <v>0.55</v>
      </c>
      <c r="K93" s="31">
        <f>G93*J93</f>
        <v>0.2307855</v>
      </c>
      <c r="L93" s="59" t="s">
        <v>125</v>
      </c>
      <c r="Z93" s="31">
        <f>IF(AQ93="5",BJ93,0)</f>
        <v>0</v>
      </c>
      <c r="AB93" s="31">
        <f>IF(AQ93="1",BH93,0)</f>
        <v>0</v>
      </c>
      <c r="AC93" s="31">
        <f>IF(AQ93="1",BI93,0)</f>
        <v>0</v>
      </c>
      <c r="AD93" s="31">
        <f>IF(AQ93="7",BH93,0)</f>
        <v>0</v>
      </c>
      <c r="AE93" s="31">
        <f>IF(AQ93="7",BI93,0)</f>
        <v>0</v>
      </c>
      <c r="AF93" s="31">
        <f>IF(AQ93="2",BH93,0)</f>
        <v>0</v>
      </c>
      <c r="AG93" s="31">
        <f>IF(AQ93="2",BI93,0)</f>
        <v>0</v>
      </c>
      <c r="AH93" s="31">
        <f>IF(AQ93="0",BJ93,0)</f>
        <v>0</v>
      </c>
      <c r="AI93" s="42" t="s">
        <v>85</v>
      </c>
      <c r="AJ93" s="31">
        <f>IF(AN93=0,I93,0)</f>
        <v>0</v>
      </c>
      <c r="AK93" s="31">
        <f>IF(AN93=12,I93,0)</f>
        <v>0</v>
      </c>
      <c r="AL93" s="31">
        <f>IF(AN93=21,I93,0)</f>
        <v>0</v>
      </c>
      <c r="AN93" s="31">
        <v>21</v>
      </c>
      <c r="AO93" s="31">
        <f>H93*1</f>
        <v>0</v>
      </c>
      <c r="AP93" s="31">
        <f>H93*(1-1)</f>
        <v>0</v>
      </c>
      <c r="AQ93" s="32" t="s">
        <v>154</v>
      </c>
      <c r="AV93" s="31">
        <f>AW93+AX93</f>
        <v>0</v>
      </c>
      <c r="AW93" s="31">
        <f>G93*AO93</f>
        <v>0</v>
      </c>
      <c r="AX93" s="31">
        <f>G93*AP93</f>
        <v>0</v>
      </c>
      <c r="AY93" s="32" t="s">
        <v>210</v>
      </c>
      <c r="AZ93" s="32" t="s">
        <v>211</v>
      </c>
      <c r="BA93" s="42" t="s">
        <v>128</v>
      </c>
      <c r="BC93" s="31">
        <f>AW93+AX93</f>
        <v>0</v>
      </c>
      <c r="BD93" s="31">
        <f>H93/(100-BE93)*100</f>
        <v>0</v>
      </c>
      <c r="BE93" s="31">
        <v>0</v>
      </c>
      <c r="BF93" s="31">
        <f>K93</f>
        <v>0.2307855</v>
      </c>
      <c r="BH93" s="31">
        <f>G93*AO93</f>
        <v>0</v>
      </c>
      <c r="BI93" s="31">
        <f>G93*AP93</f>
        <v>0</v>
      </c>
      <c r="BJ93" s="31">
        <f>G93*H93</f>
        <v>0</v>
      </c>
      <c r="BK93" s="31"/>
      <c r="BL93" s="31">
        <v>762</v>
      </c>
      <c r="BW93" s="31">
        <v>21</v>
      </c>
    </row>
    <row r="94" spans="1:12" ht="15" customHeight="1">
      <c r="A94" s="60"/>
      <c r="D94" s="61" t="s">
        <v>277</v>
      </c>
      <c r="E94" s="62"/>
      <c r="G94" s="63">
        <v>0.38146</v>
      </c>
      <c r="L94" s="64"/>
    </row>
    <row r="95" spans="1:12" ht="15" customHeight="1">
      <c r="A95" s="60"/>
      <c r="D95" s="61" t="s">
        <v>278</v>
      </c>
      <c r="E95" s="62"/>
      <c r="G95" s="63">
        <v>0.03815</v>
      </c>
      <c r="L95" s="64"/>
    </row>
    <row r="96" spans="1:75" ht="13.5" customHeight="1">
      <c r="A96" s="30" t="s">
        <v>279</v>
      </c>
      <c r="B96" s="3" t="s">
        <v>85</v>
      </c>
      <c r="C96" s="3" t="s">
        <v>280</v>
      </c>
      <c r="D96" s="78" t="s">
        <v>281</v>
      </c>
      <c r="E96" s="78"/>
      <c r="F96" s="3" t="s">
        <v>124</v>
      </c>
      <c r="G96" s="31">
        <v>18.68</v>
      </c>
      <c r="H96" s="31">
        <v>0</v>
      </c>
      <c r="I96" s="31">
        <f>G96*H96</f>
        <v>0</v>
      </c>
      <c r="J96" s="31">
        <v>0</v>
      </c>
      <c r="K96" s="31">
        <f>G96*J96</f>
        <v>0</v>
      </c>
      <c r="L96" s="59" t="s">
        <v>125</v>
      </c>
      <c r="Z96" s="31">
        <f>IF(AQ96="5",BJ96,0)</f>
        <v>0</v>
      </c>
      <c r="AB96" s="31">
        <f>IF(AQ96="1",BH96,0)</f>
        <v>0</v>
      </c>
      <c r="AC96" s="31">
        <f>IF(AQ96="1",BI96,0)</f>
        <v>0</v>
      </c>
      <c r="AD96" s="31">
        <f>IF(AQ96="7",BH96,0)</f>
        <v>0</v>
      </c>
      <c r="AE96" s="31">
        <f>IF(AQ96="7",BI96,0)</f>
        <v>0</v>
      </c>
      <c r="AF96" s="31">
        <f>IF(AQ96="2",BH96,0)</f>
        <v>0</v>
      </c>
      <c r="AG96" s="31">
        <f>IF(AQ96="2",BI96,0)</f>
        <v>0</v>
      </c>
      <c r="AH96" s="31">
        <f>IF(AQ96="0",BJ96,0)</f>
        <v>0</v>
      </c>
      <c r="AI96" s="42" t="s">
        <v>85</v>
      </c>
      <c r="AJ96" s="31">
        <f>IF(AN96=0,I96,0)</f>
        <v>0</v>
      </c>
      <c r="AK96" s="31">
        <f>IF(AN96=12,I96,0)</f>
        <v>0</v>
      </c>
      <c r="AL96" s="31">
        <f>IF(AN96=21,I96,0)</f>
        <v>0</v>
      </c>
      <c r="AN96" s="31">
        <v>21</v>
      </c>
      <c r="AO96" s="31">
        <f>H96*0</f>
        <v>0</v>
      </c>
      <c r="AP96" s="31">
        <f>H96*(1-0)</f>
        <v>0</v>
      </c>
      <c r="AQ96" s="32" t="s">
        <v>154</v>
      </c>
      <c r="AV96" s="31">
        <f>AW96+AX96</f>
        <v>0</v>
      </c>
      <c r="AW96" s="31">
        <f>G96*AO96</f>
        <v>0</v>
      </c>
      <c r="AX96" s="31">
        <f>G96*AP96</f>
        <v>0</v>
      </c>
      <c r="AY96" s="32" t="s">
        <v>210</v>
      </c>
      <c r="AZ96" s="32" t="s">
        <v>211</v>
      </c>
      <c r="BA96" s="42" t="s">
        <v>128</v>
      </c>
      <c r="BC96" s="31">
        <f>AW96+AX96</f>
        <v>0</v>
      </c>
      <c r="BD96" s="31">
        <f>H96/(100-BE96)*100</f>
        <v>0</v>
      </c>
      <c r="BE96" s="31">
        <v>0</v>
      </c>
      <c r="BF96" s="31">
        <f>K96</f>
        <v>0</v>
      </c>
      <c r="BH96" s="31">
        <f>G96*AO96</f>
        <v>0</v>
      </c>
      <c r="BI96" s="31">
        <f>G96*AP96</f>
        <v>0</v>
      </c>
      <c r="BJ96" s="31">
        <f>G96*H96</f>
        <v>0</v>
      </c>
      <c r="BK96" s="31"/>
      <c r="BL96" s="31">
        <v>762</v>
      </c>
      <c r="BW96" s="31">
        <v>21</v>
      </c>
    </row>
    <row r="97" spans="1:12" ht="15" customHeight="1">
      <c r="A97" s="60"/>
      <c r="D97" s="61" t="s">
        <v>282</v>
      </c>
      <c r="E97" s="62"/>
      <c r="G97" s="63">
        <v>18.680000000000003</v>
      </c>
      <c r="L97" s="64"/>
    </row>
    <row r="98" spans="1:75" ht="13.5" customHeight="1">
      <c r="A98" s="30" t="s">
        <v>283</v>
      </c>
      <c r="B98" s="3" t="s">
        <v>85</v>
      </c>
      <c r="C98" s="3" t="s">
        <v>284</v>
      </c>
      <c r="D98" s="78" t="s">
        <v>285</v>
      </c>
      <c r="E98" s="78"/>
      <c r="F98" s="3" t="s">
        <v>241</v>
      </c>
      <c r="G98" s="31">
        <v>0.61644</v>
      </c>
      <c r="H98" s="31">
        <v>0</v>
      </c>
      <c r="I98" s="31">
        <f>G98*H98</f>
        <v>0</v>
      </c>
      <c r="J98" s="31">
        <v>0.55</v>
      </c>
      <c r="K98" s="31">
        <f>G98*J98</f>
        <v>0.339042</v>
      </c>
      <c r="L98" s="59" t="s">
        <v>125</v>
      </c>
      <c r="Z98" s="31">
        <f>IF(AQ98="5",BJ98,0)</f>
        <v>0</v>
      </c>
      <c r="AB98" s="31">
        <f>IF(AQ98="1",BH98,0)</f>
        <v>0</v>
      </c>
      <c r="AC98" s="31">
        <f>IF(AQ98="1",BI98,0)</f>
        <v>0</v>
      </c>
      <c r="AD98" s="31">
        <f>IF(AQ98="7",BH98,0)</f>
        <v>0</v>
      </c>
      <c r="AE98" s="31">
        <f>IF(AQ98="7",BI98,0)</f>
        <v>0</v>
      </c>
      <c r="AF98" s="31">
        <f>IF(AQ98="2",BH98,0)</f>
        <v>0</v>
      </c>
      <c r="AG98" s="31">
        <f>IF(AQ98="2",BI98,0)</f>
        <v>0</v>
      </c>
      <c r="AH98" s="31">
        <f>IF(AQ98="0",BJ98,0)</f>
        <v>0</v>
      </c>
      <c r="AI98" s="42" t="s">
        <v>85</v>
      </c>
      <c r="AJ98" s="31">
        <f>IF(AN98=0,I98,0)</f>
        <v>0</v>
      </c>
      <c r="AK98" s="31">
        <f>IF(AN98=12,I98,0)</f>
        <v>0</v>
      </c>
      <c r="AL98" s="31">
        <f>IF(AN98=21,I98,0)</f>
        <v>0</v>
      </c>
      <c r="AN98" s="31">
        <v>21</v>
      </c>
      <c r="AO98" s="31">
        <f>H98*1</f>
        <v>0</v>
      </c>
      <c r="AP98" s="31">
        <f>H98*(1-1)</f>
        <v>0</v>
      </c>
      <c r="AQ98" s="32" t="s">
        <v>154</v>
      </c>
      <c r="AV98" s="31">
        <f>AW98+AX98</f>
        <v>0</v>
      </c>
      <c r="AW98" s="31">
        <f>G98*AO98</f>
        <v>0</v>
      </c>
      <c r="AX98" s="31">
        <f>G98*AP98</f>
        <v>0</v>
      </c>
      <c r="AY98" s="32" t="s">
        <v>210</v>
      </c>
      <c r="AZ98" s="32" t="s">
        <v>211</v>
      </c>
      <c r="BA98" s="42" t="s">
        <v>128</v>
      </c>
      <c r="BC98" s="31">
        <f>AW98+AX98</f>
        <v>0</v>
      </c>
      <c r="BD98" s="31">
        <f>H98/(100-BE98)*100</f>
        <v>0</v>
      </c>
      <c r="BE98" s="31">
        <v>0</v>
      </c>
      <c r="BF98" s="31">
        <f>K98</f>
        <v>0.339042</v>
      </c>
      <c r="BH98" s="31">
        <f>G98*AO98</f>
        <v>0</v>
      </c>
      <c r="BI98" s="31">
        <f>G98*AP98</f>
        <v>0</v>
      </c>
      <c r="BJ98" s="31">
        <f>G98*H98</f>
        <v>0</v>
      </c>
      <c r="BK98" s="31"/>
      <c r="BL98" s="31">
        <v>762</v>
      </c>
      <c r="BW98" s="31">
        <v>21</v>
      </c>
    </row>
    <row r="99" spans="1:12" ht="15" customHeight="1">
      <c r="A99" s="60"/>
      <c r="D99" s="61" t="s">
        <v>286</v>
      </c>
      <c r="E99" s="62"/>
      <c r="G99" s="63">
        <v>0.5604</v>
      </c>
      <c r="L99" s="64"/>
    </row>
    <row r="100" spans="1:12" ht="15" customHeight="1">
      <c r="A100" s="60"/>
      <c r="D100" s="61" t="s">
        <v>287</v>
      </c>
      <c r="E100" s="62"/>
      <c r="G100" s="63">
        <v>0.056040000000000006</v>
      </c>
      <c r="L100" s="64"/>
    </row>
    <row r="101" spans="1:75" ht="13.5" customHeight="1">
      <c r="A101" s="30" t="s">
        <v>288</v>
      </c>
      <c r="B101" s="3" t="s">
        <v>85</v>
      </c>
      <c r="C101" s="3" t="s">
        <v>289</v>
      </c>
      <c r="D101" s="78" t="s">
        <v>290</v>
      </c>
      <c r="E101" s="78"/>
      <c r="F101" s="3" t="s">
        <v>124</v>
      </c>
      <c r="G101" s="31">
        <v>542.994</v>
      </c>
      <c r="H101" s="31">
        <v>0</v>
      </c>
      <c r="I101" s="31">
        <f>G101*H101</f>
        <v>0</v>
      </c>
      <c r="J101" s="31">
        <v>0</v>
      </c>
      <c r="K101" s="31">
        <f>G101*J101</f>
        <v>0</v>
      </c>
      <c r="L101" s="59" t="s">
        <v>125</v>
      </c>
      <c r="Z101" s="31">
        <f>IF(AQ101="5",BJ101,0)</f>
        <v>0</v>
      </c>
      <c r="AB101" s="31">
        <f>IF(AQ101="1",BH101,0)</f>
        <v>0</v>
      </c>
      <c r="AC101" s="31">
        <f>IF(AQ101="1",BI101,0)</f>
        <v>0</v>
      </c>
      <c r="AD101" s="31">
        <f>IF(AQ101="7",BH101,0)</f>
        <v>0</v>
      </c>
      <c r="AE101" s="31">
        <f>IF(AQ101="7",BI101,0)</f>
        <v>0</v>
      </c>
      <c r="AF101" s="31">
        <f>IF(AQ101="2",BH101,0)</f>
        <v>0</v>
      </c>
      <c r="AG101" s="31">
        <f>IF(AQ101="2",BI101,0)</f>
        <v>0</v>
      </c>
      <c r="AH101" s="31">
        <f>IF(AQ101="0",BJ101,0)</f>
        <v>0</v>
      </c>
      <c r="AI101" s="42" t="s">
        <v>85</v>
      </c>
      <c r="AJ101" s="31">
        <f>IF(AN101=0,I101,0)</f>
        <v>0</v>
      </c>
      <c r="AK101" s="31">
        <f>IF(AN101=12,I101,0)</f>
        <v>0</v>
      </c>
      <c r="AL101" s="31">
        <f>IF(AN101=21,I101,0)</f>
        <v>0</v>
      </c>
      <c r="AN101" s="31">
        <v>21</v>
      </c>
      <c r="AO101" s="31">
        <f>H101*0</f>
        <v>0</v>
      </c>
      <c r="AP101" s="31">
        <f>H101*(1-0)</f>
        <v>0</v>
      </c>
      <c r="AQ101" s="32" t="s">
        <v>154</v>
      </c>
      <c r="AV101" s="31">
        <f>AW101+AX101</f>
        <v>0</v>
      </c>
      <c r="AW101" s="31">
        <f>G101*AO101</f>
        <v>0</v>
      </c>
      <c r="AX101" s="31">
        <f>G101*AP101</f>
        <v>0</v>
      </c>
      <c r="AY101" s="32" t="s">
        <v>210</v>
      </c>
      <c r="AZ101" s="32" t="s">
        <v>211</v>
      </c>
      <c r="BA101" s="42" t="s">
        <v>128</v>
      </c>
      <c r="BC101" s="31">
        <f>AW101+AX101</f>
        <v>0</v>
      </c>
      <c r="BD101" s="31">
        <f>H101/(100-BE101)*100</f>
        <v>0</v>
      </c>
      <c r="BE101" s="31">
        <v>0</v>
      </c>
      <c r="BF101" s="31">
        <f>K101</f>
        <v>0</v>
      </c>
      <c r="BH101" s="31">
        <f>G101*AO101</f>
        <v>0</v>
      </c>
      <c r="BI101" s="31">
        <f>G101*AP101</f>
        <v>0</v>
      </c>
      <c r="BJ101" s="31">
        <f>G101*H101</f>
        <v>0</v>
      </c>
      <c r="BK101" s="31"/>
      <c r="BL101" s="31">
        <v>762</v>
      </c>
      <c r="BW101" s="31">
        <v>21</v>
      </c>
    </row>
    <row r="102" spans="1:12" ht="15" customHeight="1">
      <c r="A102" s="60"/>
      <c r="D102" s="61" t="s">
        <v>237</v>
      </c>
      <c r="E102" s="62"/>
      <c r="G102" s="63">
        <v>542.994</v>
      </c>
      <c r="L102" s="64"/>
    </row>
    <row r="103" spans="1:75" ht="13.5" customHeight="1">
      <c r="A103" s="30" t="s">
        <v>291</v>
      </c>
      <c r="B103" s="3" t="s">
        <v>85</v>
      </c>
      <c r="C103" s="3" t="s">
        <v>292</v>
      </c>
      <c r="D103" s="78" t="s">
        <v>293</v>
      </c>
      <c r="E103" s="78"/>
      <c r="F103" s="3" t="s">
        <v>209</v>
      </c>
      <c r="G103" s="31">
        <v>6.84173</v>
      </c>
      <c r="H103" s="31">
        <v>0</v>
      </c>
      <c r="I103" s="31">
        <f>G103*H103</f>
        <v>0</v>
      </c>
      <c r="J103" s="31">
        <v>0.00083</v>
      </c>
      <c r="K103" s="31">
        <f>G103*J103</f>
        <v>0.0056786359</v>
      </c>
      <c r="L103" s="59" t="s">
        <v>125</v>
      </c>
      <c r="Z103" s="31">
        <f>IF(AQ103="5",BJ103,0)</f>
        <v>0</v>
      </c>
      <c r="AB103" s="31">
        <f>IF(AQ103="1",BH103,0)</f>
        <v>0</v>
      </c>
      <c r="AC103" s="31">
        <f>IF(AQ103="1",BI103,0)</f>
        <v>0</v>
      </c>
      <c r="AD103" s="31">
        <f>IF(AQ103="7",BH103,0)</f>
        <v>0</v>
      </c>
      <c r="AE103" s="31">
        <f>IF(AQ103="7",BI103,0)</f>
        <v>0</v>
      </c>
      <c r="AF103" s="31">
        <f>IF(AQ103="2",BH103,0)</f>
        <v>0</v>
      </c>
      <c r="AG103" s="31">
        <f>IF(AQ103="2",BI103,0)</f>
        <v>0</v>
      </c>
      <c r="AH103" s="31">
        <f>IF(AQ103="0",BJ103,0)</f>
        <v>0</v>
      </c>
      <c r="AI103" s="42" t="s">
        <v>85</v>
      </c>
      <c r="AJ103" s="31">
        <f>IF(AN103=0,I103,0)</f>
        <v>0</v>
      </c>
      <c r="AK103" s="31">
        <f>IF(AN103=12,I103,0)</f>
        <v>0</v>
      </c>
      <c r="AL103" s="31">
        <f>IF(AN103=21,I103,0)</f>
        <v>0</v>
      </c>
      <c r="AN103" s="31">
        <v>21</v>
      </c>
      <c r="AO103" s="31">
        <f>H103*1</f>
        <v>0</v>
      </c>
      <c r="AP103" s="31">
        <f>H103*(1-1)</f>
        <v>0</v>
      </c>
      <c r="AQ103" s="32" t="s">
        <v>154</v>
      </c>
      <c r="AV103" s="31">
        <f>AW103+AX103</f>
        <v>0</v>
      </c>
      <c r="AW103" s="31">
        <f>G103*AO103</f>
        <v>0</v>
      </c>
      <c r="AX103" s="31">
        <f>G103*AP103</f>
        <v>0</v>
      </c>
      <c r="AY103" s="32" t="s">
        <v>210</v>
      </c>
      <c r="AZ103" s="32" t="s">
        <v>211</v>
      </c>
      <c r="BA103" s="42" t="s">
        <v>128</v>
      </c>
      <c r="BC103" s="31">
        <f>AW103+AX103</f>
        <v>0</v>
      </c>
      <c r="BD103" s="31">
        <f>H103/(100-BE103)*100</f>
        <v>0</v>
      </c>
      <c r="BE103" s="31">
        <v>0</v>
      </c>
      <c r="BF103" s="31">
        <f>K103</f>
        <v>0.0056786359</v>
      </c>
      <c r="BH103" s="31">
        <f>G103*AO103</f>
        <v>0</v>
      </c>
      <c r="BI103" s="31">
        <f>G103*AP103</f>
        <v>0</v>
      </c>
      <c r="BJ103" s="31">
        <f>G103*H103</f>
        <v>0</v>
      </c>
      <c r="BK103" s="31"/>
      <c r="BL103" s="31">
        <v>762</v>
      </c>
      <c r="BW103" s="31">
        <v>21</v>
      </c>
    </row>
    <row r="104" spans="1:12" ht="15" customHeight="1">
      <c r="A104" s="60"/>
      <c r="D104" s="61" t="s">
        <v>294</v>
      </c>
      <c r="E104" s="62"/>
      <c r="G104" s="63">
        <v>5.701440000000001</v>
      </c>
      <c r="L104" s="64"/>
    </row>
    <row r="105" spans="1:12" ht="15" customHeight="1">
      <c r="A105" s="60"/>
      <c r="D105" s="61" t="s">
        <v>295</v>
      </c>
      <c r="E105" s="62"/>
      <c r="G105" s="63">
        <v>1.14029</v>
      </c>
      <c r="L105" s="64"/>
    </row>
    <row r="106" spans="1:75" ht="13.5" customHeight="1">
      <c r="A106" s="30" t="s">
        <v>296</v>
      </c>
      <c r="B106" s="3" t="s">
        <v>85</v>
      </c>
      <c r="C106" s="3" t="s">
        <v>297</v>
      </c>
      <c r="D106" s="78" t="s">
        <v>298</v>
      </c>
      <c r="E106" s="78"/>
      <c r="F106" s="3" t="s">
        <v>124</v>
      </c>
      <c r="G106" s="31">
        <v>1080.4</v>
      </c>
      <c r="H106" s="31">
        <v>0</v>
      </c>
      <c r="I106" s="31">
        <f>G106*H106</f>
        <v>0</v>
      </c>
      <c r="J106" s="31">
        <v>0</v>
      </c>
      <c r="K106" s="31">
        <f>G106*J106</f>
        <v>0</v>
      </c>
      <c r="L106" s="59" t="s">
        <v>125</v>
      </c>
      <c r="Z106" s="31">
        <f>IF(AQ106="5",BJ106,0)</f>
        <v>0</v>
      </c>
      <c r="AB106" s="31">
        <f>IF(AQ106="1",BH106,0)</f>
        <v>0</v>
      </c>
      <c r="AC106" s="31">
        <f>IF(AQ106="1",BI106,0)</f>
        <v>0</v>
      </c>
      <c r="AD106" s="31">
        <f>IF(AQ106="7",BH106,0)</f>
        <v>0</v>
      </c>
      <c r="AE106" s="31">
        <f>IF(AQ106="7",BI106,0)</f>
        <v>0</v>
      </c>
      <c r="AF106" s="31">
        <f>IF(AQ106="2",BH106,0)</f>
        <v>0</v>
      </c>
      <c r="AG106" s="31">
        <f>IF(AQ106="2",BI106,0)</f>
        <v>0</v>
      </c>
      <c r="AH106" s="31">
        <f>IF(AQ106="0",BJ106,0)</f>
        <v>0</v>
      </c>
      <c r="AI106" s="42" t="s">
        <v>85</v>
      </c>
      <c r="AJ106" s="31">
        <f>IF(AN106=0,I106,0)</f>
        <v>0</v>
      </c>
      <c r="AK106" s="31">
        <f>IF(AN106=12,I106,0)</f>
        <v>0</v>
      </c>
      <c r="AL106" s="31">
        <f>IF(AN106=21,I106,0)</f>
        <v>0</v>
      </c>
      <c r="AN106" s="31">
        <v>21</v>
      </c>
      <c r="AO106" s="31">
        <f>H106*0</f>
        <v>0</v>
      </c>
      <c r="AP106" s="31">
        <f>H106*(1-0)</f>
        <v>0</v>
      </c>
      <c r="AQ106" s="32" t="s">
        <v>154</v>
      </c>
      <c r="AV106" s="31">
        <f>AW106+AX106</f>
        <v>0</v>
      </c>
      <c r="AW106" s="31">
        <f>G106*AO106</f>
        <v>0</v>
      </c>
      <c r="AX106" s="31">
        <f>G106*AP106</f>
        <v>0</v>
      </c>
      <c r="AY106" s="32" t="s">
        <v>210</v>
      </c>
      <c r="AZ106" s="32" t="s">
        <v>211</v>
      </c>
      <c r="BA106" s="42" t="s">
        <v>128</v>
      </c>
      <c r="BC106" s="31">
        <f>AW106+AX106</f>
        <v>0</v>
      </c>
      <c r="BD106" s="31">
        <f>H106/(100-BE106)*100</f>
        <v>0</v>
      </c>
      <c r="BE106" s="31">
        <v>0</v>
      </c>
      <c r="BF106" s="31">
        <f>K106</f>
        <v>0</v>
      </c>
      <c r="BH106" s="31">
        <f>G106*AO106</f>
        <v>0</v>
      </c>
      <c r="BI106" s="31">
        <f>G106*AP106</f>
        <v>0</v>
      </c>
      <c r="BJ106" s="31">
        <f>G106*H106</f>
        <v>0</v>
      </c>
      <c r="BK106" s="31"/>
      <c r="BL106" s="31">
        <v>762</v>
      </c>
      <c r="BW106" s="31">
        <v>21</v>
      </c>
    </row>
    <row r="107" spans="1:12" ht="15" customHeight="1">
      <c r="A107" s="60"/>
      <c r="D107" s="61" t="s">
        <v>299</v>
      </c>
      <c r="E107" s="62"/>
      <c r="G107" s="63">
        <v>1070</v>
      </c>
      <c r="L107" s="64"/>
    </row>
    <row r="108" spans="1:12" ht="15" customHeight="1">
      <c r="A108" s="60"/>
      <c r="D108" s="61" t="s">
        <v>300</v>
      </c>
      <c r="E108" s="62"/>
      <c r="G108" s="63">
        <v>10.4</v>
      </c>
      <c r="L108" s="64"/>
    </row>
    <row r="109" spans="1:75" ht="13.5" customHeight="1">
      <c r="A109" s="30" t="s">
        <v>301</v>
      </c>
      <c r="B109" s="3" t="s">
        <v>85</v>
      </c>
      <c r="C109" s="3" t="s">
        <v>292</v>
      </c>
      <c r="D109" s="78" t="s">
        <v>293</v>
      </c>
      <c r="E109" s="78"/>
      <c r="F109" s="3" t="s">
        <v>209</v>
      </c>
      <c r="G109" s="31">
        <v>1.94472</v>
      </c>
      <c r="H109" s="31">
        <v>0</v>
      </c>
      <c r="I109" s="31">
        <f>G109*H109</f>
        <v>0</v>
      </c>
      <c r="J109" s="31">
        <v>0.00083</v>
      </c>
      <c r="K109" s="31">
        <f>G109*J109</f>
        <v>0.0016141176</v>
      </c>
      <c r="L109" s="59" t="s">
        <v>125</v>
      </c>
      <c r="Z109" s="31">
        <f>IF(AQ109="5",BJ109,0)</f>
        <v>0</v>
      </c>
      <c r="AB109" s="31">
        <f>IF(AQ109="1",BH109,0)</f>
        <v>0</v>
      </c>
      <c r="AC109" s="31">
        <f>IF(AQ109="1",BI109,0)</f>
        <v>0</v>
      </c>
      <c r="AD109" s="31">
        <f>IF(AQ109="7",BH109,0)</f>
        <v>0</v>
      </c>
      <c r="AE109" s="31">
        <f>IF(AQ109="7",BI109,0)</f>
        <v>0</v>
      </c>
      <c r="AF109" s="31">
        <f>IF(AQ109="2",BH109,0)</f>
        <v>0</v>
      </c>
      <c r="AG109" s="31">
        <f>IF(AQ109="2",BI109,0)</f>
        <v>0</v>
      </c>
      <c r="AH109" s="31">
        <f>IF(AQ109="0",BJ109,0)</f>
        <v>0</v>
      </c>
      <c r="AI109" s="42" t="s">
        <v>85</v>
      </c>
      <c r="AJ109" s="31">
        <f>IF(AN109=0,I109,0)</f>
        <v>0</v>
      </c>
      <c r="AK109" s="31">
        <f>IF(AN109=12,I109,0)</f>
        <v>0</v>
      </c>
      <c r="AL109" s="31">
        <f>IF(AN109=21,I109,0)</f>
        <v>0</v>
      </c>
      <c r="AN109" s="31">
        <v>21</v>
      </c>
      <c r="AO109" s="31">
        <f>H109*1</f>
        <v>0</v>
      </c>
      <c r="AP109" s="31">
        <f>H109*(1-1)</f>
        <v>0</v>
      </c>
      <c r="AQ109" s="32" t="s">
        <v>154</v>
      </c>
      <c r="AV109" s="31">
        <f>AW109+AX109</f>
        <v>0</v>
      </c>
      <c r="AW109" s="31">
        <f>G109*AO109</f>
        <v>0</v>
      </c>
      <c r="AX109" s="31">
        <f>G109*AP109</f>
        <v>0</v>
      </c>
      <c r="AY109" s="32" t="s">
        <v>210</v>
      </c>
      <c r="AZ109" s="32" t="s">
        <v>211</v>
      </c>
      <c r="BA109" s="42" t="s">
        <v>128</v>
      </c>
      <c r="BC109" s="31">
        <f>AW109+AX109</f>
        <v>0</v>
      </c>
      <c r="BD109" s="31">
        <f>H109/(100-BE109)*100</f>
        <v>0</v>
      </c>
      <c r="BE109" s="31">
        <v>0</v>
      </c>
      <c r="BF109" s="31">
        <f>K109</f>
        <v>0.0016141176</v>
      </c>
      <c r="BH109" s="31">
        <f>G109*AO109</f>
        <v>0</v>
      </c>
      <c r="BI109" s="31">
        <f>G109*AP109</f>
        <v>0</v>
      </c>
      <c r="BJ109" s="31">
        <f>G109*H109</f>
        <v>0</v>
      </c>
      <c r="BK109" s="31"/>
      <c r="BL109" s="31">
        <v>762</v>
      </c>
      <c r="BW109" s="31">
        <v>21</v>
      </c>
    </row>
    <row r="110" spans="1:12" ht="15" customHeight="1">
      <c r="A110" s="60"/>
      <c r="D110" s="61" t="s">
        <v>302</v>
      </c>
      <c r="E110" s="62"/>
      <c r="G110" s="63">
        <v>1.6206</v>
      </c>
      <c r="L110" s="64"/>
    </row>
    <row r="111" spans="1:12" ht="15" customHeight="1">
      <c r="A111" s="60"/>
      <c r="D111" s="61" t="s">
        <v>303</v>
      </c>
      <c r="E111" s="62"/>
      <c r="G111" s="63">
        <v>0.32412</v>
      </c>
      <c r="L111" s="64"/>
    </row>
    <row r="112" spans="1:75" ht="13.5" customHeight="1">
      <c r="A112" s="30" t="s">
        <v>304</v>
      </c>
      <c r="B112" s="3" t="s">
        <v>85</v>
      </c>
      <c r="C112" s="3" t="s">
        <v>305</v>
      </c>
      <c r="D112" s="78" t="s">
        <v>306</v>
      </c>
      <c r="E112" s="78"/>
      <c r="F112" s="3" t="s">
        <v>241</v>
      </c>
      <c r="G112" s="31">
        <v>25.623</v>
      </c>
      <c r="H112" s="31">
        <v>0</v>
      </c>
      <c r="I112" s="31">
        <f>G112*H112</f>
        <v>0</v>
      </c>
      <c r="J112" s="31">
        <v>0.02357</v>
      </c>
      <c r="K112" s="31">
        <f>G112*J112</f>
        <v>0.6039341100000001</v>
      </c>
      <c r="L112" s="59" t="s">
        <v>125</v>
      </c>
      <c r="Z112" s="31">
        <f>IF(AQ112="5",BJ112,0)</f>
        <v>0</v>
      </c>
      <c r="AB112" s="31">
        <f>IF(AQ112="1",BH112,0)</f>
        <v>0</v>
      </c>
      <c r="AC112" s="31">
        <f>IF(AQ112="1",BI112,0)</f>
        <v>0</v>
      </c>
      <c r="AD112" s="31">
        <f>IF(AQ112="7",BH112,0)</f>
        <v>0</v>
      </c>
      <c r="AE112" s="31">
        <f>IF(AQ112="7",BI112,0)</f>
        <v>0</v>
      </c>
      <c r="AF112" s="31">
        <f>IF(AQ112="2",BH112,0)</f>
        <v>0</v>
      </c>
      <c r="AG112" s="31">
        <f>IF(AQ112="2",BI112,0)</f>
        <v>0</v>
      </c>
      <c r="AH112" s="31">
        <f>IF(AQ112="0",BJ112,0)</f>
        <v>0</v>
      </c>
      <c r="AI112" s="42" t="s">
        <v>85</v>
      </c>
      <c r="AJ112" s="31">
        <f>IF(AN112=0,I112,0)</f>
        <v>0</v>
      </c>
      <c r="AK112" s="31">
        <f>IF(AN112=12,I112,0)</f>
        <v>0</v>
      </c>
      <c r="AL112" s="31">
        <f>IF(AN112=21,I112,0)</f>
        <v>0</v>
      </c>
      <c r="AN112" s="31">
        <v>21</v>
      </c>
      <c r="AO112" s="31">
        <f>H112*1.00000021936734</f>
        <v>0</v>
      </c>
      <c r="AP112" s="31">
        <f>H112*(1-1.00000021936734)</f>
        <v>0</v>
      </c>
      <c r="AQ112" s="32" t="s">
        <v>154</v>
      </c>
      <c r="AV112" s="31">
        <f>AW112+AX112</f>
        <v>0</v>
      </c>
      <c r="AW112" s="31">
        <f>G112*AO112</f>
        <v>0</v>
      </c>
      <c r="AX112" s="31">
        <f>G112*AP112</f>
        <v>0</v>
      </c>
      <c r="AY112" s="32" t="s">
        <v>210</v>
      </c>
      <c r="AZ112" s="32" t="s">
        <v>211</v>
      </c>
      <c r="BA112" s="42" t="s">
        <v>128</v>
      </c>
      <c r="BC112" s="31">
        <f>AW112+AX112</f>
        <v>0</v>
      </c>
      <c r="BD112" s="31">
        <f>H112/(100-BE112)*100</f>
        <v>0</v>
      </c>
      <c r="BE112" s="31">
        <v>0</v>
      </c>
      <c r="BF112" s="31">
        <f>K112</f>
        <v>0.6039341100000001</v>
      </c>
      <c r="BH112" s="31">
        <f>G112*AO112</f>
        <v>0</v>
      </c>
      <c r="BI112" s="31">
        <f>G112*AP112</f>
        <v>0</v>
      </c>
      <c r="BJ112" s="31">
        <f>G112*H112</f>
        <v>0</v>
      </c>
      <c r="BK112" s="31"/>
      <c r="BL112" s="31">
        <v>762</v>
      </c>
      <c r="BW112" s="31">
        <v>21</v>
      </c>
    </row>
    <row r="113" spans="1:12" ht="15" customHeight="1">
      <c r="A113" s="60"/>
      <c r="D113" s="61" t="s">
        <v>307</v>
      </c>
      <c r="E113" s="62"/>
      <c r="G113" s="63">
        <v>25.623</v>
      </c>
      <c r="L113" s="64"/>
    </row>
    <row r="114" spans="1:75" ht="13.5" customHeight="1">
      <c r="A114" s="30" t="s">
        <v>308</v>
      </c>
      <c r="B114" s="3" t="s">
        <v>85</v>
      </c>
      <c r="C114" s="3" t="s">
        <v>309</v>
      </c>
      <c r="D114" s="78" t="s">
        <v>310</v>
      </c>
      <c r="E114" s="78"/>
      <c r="F114" s="3" t="s">
        <v>124</v>
      </c>
      <c r="G114" s="31">
        <v>85</v>
      </c>
      <c r="H114" s="31">
        <v>0</v>
      </c>
      <c r="I114" s="31">
        <f>G114*H114</f>
        <v>0</v>
      </c>
      <c r="J114" s="31">
        <v>0.01782</v>
      </c>
      <c r="K114" s="31">
        <f>G114*J114</f>
        <v>1.5147</v>
      </c>
      <c r="L114" s="59" t="s">
        <v>125</v>
      </c>
      <c r="Z114" s="31">
        <f>IF(AQ114="5",BJ114,0)</f>
        <v>0</v>
      </c>
      <c r="AB114" s="31">
        <f>IF(AQ114="1",BH114,0)</f>
        <v>0</v>
      </c>
      <c r="AC114" s="31">
        <f>IF(AQ114="1",BI114,0)</f>
        <v>0</v>
      </c>
      <c r="AD114" s="31">
        <f>IF(AQ114="7",BH114,0)</f>
        <v>0</v>
      </c>
      <c r="AE114" s="31">
        <f>IF(AQ114="7",BI114,0)</f>
        <v>0</v>
      </c>
      <c r="AF114" s="31">
        <f>IF(AQ114="2",BH114,0)</f>
        <v>0</v>
      </c>
      <c r="AG114" s="31">
        <f>IF(AQ114="2",BI114,0)</f>
        <v>0</v>
      </c>
      <c r="AH114" s="31">
        <f>IF(AQ114="0",BJ114,0)</f>
        <v>0</v>
      </c>
      <c r="AI114" s="42" t="s">
        <v>85</v>
      </c>
      <c r="AJ114" s="31">
        <f>IF(AN114=0,I114,0)</f>
        <v>0</v>
      </c>
      <c r="AK114" s="31">
        <f>IF(AN114=12,I114,0)</f>
        <v>0</v>
      </c>
      <c r="AL114" s="31">
        <f>IF(AN114=21,I114,0)</f>
        <v>0</v>
      </c>
      <c r="AN114" s="31">
        <v>21</v>
      </c>
      <c r="AO114" s="31">
        <f>H114*0.572887032033733</f>
        <v>0</v>
      </c>
      <c r="AP114" s="31">
        <f>H114*(1-0.572887032033733)</f>
        <v>0</v>
      </c>
      <c r="AQ114" s="32" t="s">
        <v>154</v>
      </c>
      <c r="AV114" s="31">
        <f>AW114+AX114</f>
        <v>0</v>
      </c>
      <c r="AW114" s="31">
        <f>G114*AO114</f>
        <v>0</v>
      </c>
      <c r="AX114" s="31">
        <f>G114*AP114</f>
        <v>0</v>
      </c>
      <c r="AY114" s="32" t="s">
        <v>210</v>
      </c>
      <c r="AZ114" s="32" t="s">
        <v>211</v>
      </c>
      <c r="BA114" s="42" t="s">
        <v>128</v>
      </c>
      <c r="BC114" s="31">
        <f>AW114+AX114</f>
        <v>0</v>
      </c>
      <c r="BD114" s="31">
        <f>H114/(100-BE114)*100</f>
        <v>0</v>
      </c>
      <c r="BE114" s="31">
        <v>0</v>
      </c>
      <c r="BF114" s="31">
        <f>K114</f>
        <v>1.5147</v>
      </c>
      <c r="BH114" s="31">
        <f>G114*AO114</f>
        <v>0</v>
      </c>
      <c r="BI114" s="31">
        <f>G114*AP114</f>
        <v>0</v>
      </c>
      <c r="BJ114" s="31">
        <f>G114*H114</f>
        <v>0</v>
      </c>
      <c r="BK114" s="31"/>
      <c r="BL114" s="31">
        <v>762</v>
      </c>
      <c r="BW114" s="31">
        <v>21</v>
      </c>
    </row>
    <row r="115" spans="1:12" ht="15" customHeight="1">
      <c r="A115" s="60"/>
      <c r="D115" s="61" t="s">
        <v>312</v>
      </c>
      <c r="E115" s="62"/>
      <c r="G115" s="63">
        <v>85</v>
      </c>
      <c r="L115" s="64"/>
    </row>
    <row r="116" spans="1:75" ht="13.5" customHeight="1">
      <c r="A116" s="30" t="s">
        <v>313</v>
      </c>
      <c r="B116" s="3" t="s">
        <v>85</v>
      </c>
      <c r="C116" s="3" t="s">
        <v>314</v>
      </c>
      <c r="D116" s="78" t="s">
        <v>315</v>
      </c>
      <c r="E116" s="78"/>
      <c r="F116" s="3"/>
      <c r="G116" s="31">
        <v>85</v>
      </c>
      <c r="H116" s="31">
        <v>0</v>
      </c>
      <c r="I116" s="31">
        <f>G116*H116</f>
        <v>0</v>
      </c>
      <c r="J116" s="31">
        <v>0</v>
      </c>
      <c r="K116" s="31">
        <f>G116*J116</f>
        <v>0</v>
      </c>
      <c r="L116" s="59"/>
      <c r="Z116" s="31">
        <f>IF(AQ116="5",BJ116,0)</f>
        <v>0</v>
      </c>
      <c r="AB116" s="31">
        <f>IF(AQ116="1",BH116,0)</f>
        <v>0</v>
      </c>
      <c r="AC116" s="31">
        <f>IF(AQ116="1",BI116,0)</f>
        <v>0</v>
      </c>
      <c r="AD116" s="31">
        <f>IF(AQ116="7",BH116,0)</f>
        <v>0</v>
      </c>
      <c r="AE116" s="31">
        <f>IF(AQ116="7",BI116,0)</f>
        <v>0</v>
      </c>
      <c r="AF116" s="31">
        <f>IF(AQ116="2",BH116,0)</f>
        <v>0</v>
      </c>
      <c r="AG116" s="31">
        <f>IF(AQ116="2",BI116,0)</f>
        <v>0</v>
      </c>
      <c r="AH116" s="31">
        <f>IF(AQ116="0",BJ116,0)</f>
        <v>0</v>
      </c>
      <c r="AI116" s="42" t="s">
        <v>85</v>
      </c>
      <c r="AJ116" s="31">
        <f>IF(AN116=0,I116,0)</f>
        <v>0</v>
      </c>
      <c r="AK116" s="31">
        <f>IF(AN116=12,I116,0)</f>
        <v>0</v>
      </c>
      <c r="AL116" s="31">
        <f>IF(AN116=21,I116,0)</f>
        <v>0</v>
      </c>
      <c r="AN116" s="31">
        <v>21</v>
      </c>
      <c r="AO116" s="31">
        <f>H116*0</f>
        <v>0</v>
      </c>
      <c r="AP116" s="31">
        <f>H116*(1-0)</f>
        <v>0</v>
      </c>
      <c r="AQ116" s="32" t="s">
        <v>154</v>
      </c>
      <c r="AV116" s="31">
        <f>AW116+AX116</f>
        <v>0</v>
      </c>
      <c r="AW116" s="31">
        <f>G116*AO116</f>
        <v>0</v>
      </c>
      <c r="AX116" s="31">
        <f>G116*AP116</f>
        <v>0</v>
      </c>
      <c r="AY116" s="32" t="s">
        <v>210</v>
      </c>
      <c r="AZ116" s="32" t="s">
        <v>211</v>
      </c>
      <c r="BA116" s="42" t="s">
        <v>128</v>
      </c>
      <c r="BC116" s="31">
        <f>AW116+AX116</f>
        <v>0</v>
      </c>
      <c r="BD116" s="31">
        <f>H116/(100-BE116)*100</f>
        <v>0</v>
      </c>
      <c r="BE116" s="31">
        <v>0</v>
      </c>
      <c r="BF116" s="31">
        <f>K116</f>
        <v>0</v>
      </c>
      <c r="BH116" s="31">
        <f>G116*AO116</f>
        <v>0</v>
      </c>
      <c r="BI116" s="31">
        <f>G116*AP116</f>
        <v>0</v>
      </c>
      <c r="BJ116" s="31">
        <f>G116*H116</f>
        <v>0</v>
      </c>
      <c r="BK116" s="31"/>
      <c r="BL116" s="31">
        <v>762</v>
      </c>
      <c r="BW116" s="31">
        <v>21</v>
      </c>
    </row>
    <row r="117" spans="1:12" ht="15" customHeight="1">
      <c r="A117" s="60"/>
      <c r="D117" s="61" t="s">
        <v>312</v>
      </c>
      <c r="E117" s="62"/>
      <c r="G117" s="63">
        <v>85</v>
      </c>
      <c r="L117" s="64"/>
    </row>
    <row r="118" spans="1:75" ht="13.5" customHeight="1">
      <c r="A118" s="30" t="s">
        <v>316</v>
      </c>
      <c r="B118" s="3" t="s">
        <v>85</v>
      </c>
      <c r="C118" s="3" t="s">
        <v>317</v>
      </c>
      <c r="D118" s="78" t="s">
        <v>318</v>
      </c>
      <c r="E118" s="78"/>
      <c r="F118" s="3" t="s">
        <v>124</v>
      </c>
      <c r="G118" s="31">
        <v>46.916</v>
      </c>
      <c r="H118" s="31">
        <v>0</v>
      </c>
      <c r="I118" s="31">
        <f>G118*H118</f>
        <v>0</v>
      </c>
      <c r="J118" s="31">
        <v>0</v>
      </c>
      <c r="K118" s="31">
        <f>G118*J118</f>
        <v>0</v>
      </c>
      <c r="L118" s="59" t="s">
        <v>125</v>
      </c>
      <c r="Z118" s="31">
        <f>IF(AQ118="5",BJ118,0)</f>
        <v>0</v>
      </c>
      <c r="AB118" s="31">
        <f>IF(AQ118="1",BH118,0)</f>
        <v>0</v>
      </c>
      <c r="AC118" s="31">
        <f>IF(AQ118="1",BI118,0)</f>
        <v>0</v>
      </c>
      <c r="AD118" s="31">
        <f>IF(AQ118="7",BH118,0)</f>
        <v>0</v>
      </c>
      <c r="AE118" s="31">
        <f>IF(AQ118="7",BI118,0)</f>
        <v>0</v>
      </c>
      <c r="AF118" s="31">
        <f>IF(AQ118="2",BH118,0)</f>
        <v>0</v>
      </c>
      <c r="AG118" s="31">
        <f>IF(AQ118="2",BI118,0)</f>
        <v>0</v>
      </c>
      <c r="AH118" s="31">
        <f>IF(AQ118="0",BJ118,0)</f>
        <v>0</v>
      </c>
      <c r="AI118" s="42" t="s">
        <v>85</v>
      </c>
      <c r="AJ118" s="31">
        <f>IF(AN118=0,I118,0)</f>
        <v>0</v>
      </c>
      <c r="AK118" s="31">
        <f>IF(AN118=12,I118,0)</f>
        <v>0</v>
      </c>
      <c r="AL118" s="31">
        <f>IF(AN118=21,I118,0)</f>
        <v>0</v>
      </c>
      <c r="AN118" s="31">
        <v>21</v>
      </c>
      <c r="AO118" s="31">
        <f>H118*0</f>
        <v>0</v>
      </c>
      <c r="AP118" s="31">
        <f>H118*(1-0)</f>
        <v>0</v>
      </c>
      <c r="AQ118" s="32" t="s">
        <v>154</v>
      </c>
      <c r="AV118" s="31">
        <f>AW118+AX118</f>
        <v>0</v>
      </c>
      <c r="AW118" s="31">
        <f>G118*AO118</f>
        <v>0</v>
      </c>
      <c r="AX118" s="31">
        <f>G118*AP118</f>
        <v>0</v>
      </c>
      <c r="AY118" s="32" t="s">
        <v>210</v>
      </c>
      <c r="AZ118" s="32" t="s">
        <v>211</v>
      </c>
      <c r="BA118" s="42" t="s">
        <v>128</v>
      </c>
      <c r="BC118" s="31">
        <f>AW118+AX118</f>
        <v>0</v>
      </c>
      <c r="BD118" s="31">
        <f>H118/(100-BE118)*100</f>
        <v>0</v>
      </c>
      <c r="BE118" s="31">
        <v>0</v>
      </c>
      <c r="BF118" s="31">
        <f>K118</f>
        <v>0</v>
      </c>
      <c r="BH118" s="31">
        <f>G118*AO118</f>
        <v>0</v>
      </c>
      <c r="BI118" s="31">
        <f>G118*AP118</f>
        <v>0</v>
      </c>
      <c r="BJ118" s="31">
        <f>G118*H118</f>
        <v>0</v>
      </c>
      <c r="BK118" s="31"/>
      <c r="BL118" s="31">
        <v>762</v>
      </c>
      <c r="BW118" s="31">
        <v>21</v>
      </c>
    </row>
    <row r="119" spans="1:12" ht="15" customHeight="1">
      <c r="A119" s="60"/>
      <c r="D119" s="61" t="s">
        <v>233</v>
      </c>
      <c r="E119" s="62"/>
      <c r="G119" s="63">
        <v>34.416000000000004</v>
      </c>
      <c r="L119" s="64"/>
    </row>
    <row r="120" spans="1:12" ht="15" customHeight="1">
      <c r="A120" s="60"/>
      <c r="D120" s="61" t="s">
        <v>319</v>
      </c>
      <c r="E120" s="62"/>
      <c r="G120" s="63">
        <v>12.500000000000002</v>
      </c>
      <c r="L120" s="64"/>
    </row>
    <row r="121" spans="1:75" ht="13.5" customHeight="1">
      <c r="A121" s="30" t="s">
        <v>320</v>
      </c>
      <c r="B121" s="3" t="s">
        <v>85</v>
      </c>
      <c r="C121" s="3" t="s">
        <v>321</v>
      </c>
      <c r="D121" s="78" t="s">
        <v>322</v>
      </c>
      <c r="E121" s="78"/>
      <c r="F121" s="3" t="s">
        <v>124</v>
      </c>
      <c r="G121" s="31">
        <v>53.958</v>
      </c>
      <c r="H121" s="31">
        <v>0</v>
      </c>
      <c r="I121" s="31">
        <f>G121*H121</f>
        <v>0</v>
      </c>
      <c r="J121" s="31">
        <v>0.00625</v>
      </c>
      <c r="K121" s="31">
        <f>G121*J121</f>
        <v>0.3372375</v>
      </c>
      <c r="L121" s="59" t="s">
        <v>125</v>
      </c>
      <c r="Z121" s="31">
        <f>IF(AQ121="5",BJ121,0)</f>
        <v>0</v>
      </c>
      <c r="AB121" s="31">
        <f>IF(AQ121="1",BH121,0)</f>
        <v>0</v>
      </c>
      <c r="AC121" s="31">
        <f>IF(AQ121="1",BI121,0)</f>
        <v>0</v>
      </c>
      <c r="AD121" s="31">
        <f>IF(AQ121="7",BH121,0)</f>
        <v>0</v>
      </c>
      <c r="AE121" s="31">
        <f>IF(AQ121="7",BI121,0)</f>
        <v>0</v>
      </c>
      <c r="AF121" s="31">
        <f>IF(AQ121="2",BH121,0)</f>
        <v>0</v>
      </c>
      <c r="AG121" s="31">
        <f>IF(AQ121="2",BI121,0)</f>
        <v>0</v>
      </c>
      <c r="AH121" s="31">
        <f>IF(AQ121="0",BJ121,0)</f>
        <v>0</v>
      </c>
      <c r="AI121" s="42" t="s">
        <v>85</v>
      </c>
      <c r="AJ121" s="31">
        <f>IF(AN121=0,I121,0)</f>
        <v>0</v>
      </c>
      <c r="AK121" s="31">
        <f>IF(AN121=12,I121,0)</f>
        <v>0</v>
      </c>
      <c r="AL121" s="31">
        <f>IF(AN121=21,I121,0)</f>
        <v>0</v>
      </c>
      <c r="AN121" s="31">
        <v>21</v>
      </c>
      <c r="AO121" s="31">
        <f>H121*1</f>
        <v>0</v>
      </c>
      <c r="AP121" s="31">
        <f>H121*(1-1)</f>
        <v>0</v>
      </c>
      <c r="AQ121" s="32" t="s">
        <v>154</v>
      </c>
      <c r="AV121" s="31">
        <f>AW121+AX121</f>
        <v>0</v>
      </c>
      <c r="AW121" s="31">
        <f>G121*AO121</f>
        <v>0</v>
      </c>
      <c r="AX121" s="31">
        <f>G121*AP121</f>
        <v>0</v>
      </c>
      <c r="AY121" s="32" t="s">
        <v>210</v>
      </c>
      <c r="AZ121" s="32" t="s">
        <v>211</v>
      </c>
      <c r="BA121" s="42" t="s">
        <v>128</v>
      </c>
      <c r="BC121" s="31">
        <f>AW121+AX121</f>
        <v>0</v>
      </c>
      <c r="BD121" s="31">
        <f>H121/(100-BE121)*100</f>
        <v>0</v>
      </c>
      <c r="BE121" s="31">
        <v>0</v>
      </c>
      <c r="BF121" s="31">
        <f>K121</f>
        <v>0.3372375</v>
      </c>
      <c r="BH121" s="31">
        <f>G121*AO121</f>
        <v>0</v>
      </c>
      <c r="BI121" s="31">
        <f>G121*AP121</f>
        <v>0</v>
      </c>
      <c r="BJ121" s="31">
        <f>G121*H121</f>
        <v>0</v>
      </c>
      <c r="BK121" s="31"/>
      <c r="BL121" s="31">
        <v>762</v>
      </c>
      <c r="BW121" s="31">
        <v>21</v>
      </c>
    </row>
    <row r="122" spans="1:12" ht="15" customHeight="1">
      <c r="A122" s="60"/>
      <c r="D122" s="61" t="s">
        <v>323</v>
      </c>
      <c r="E122" s="62"/>
      <c r="G122" s="63">
        <v>46.92</v>
      </c>
      <c r="L122" s="64"/>
    </row>
    <row r="123" spans="1:12" ht="15" customHeight="1">
      <c r="A123" s="60"/>
      <c r="D123" s="61" t="s">
        <v>324</v>
      </c>
      <c r="E123" s="62"/>
      <c r="G123" s="63">
        <v>7.038</v>
      </c>
      <c r="L123" s="64"/>
    </row>
    <row r="124" spans="1:75" ht="13.5" customHeight="1">
      <c r="A124" s="30" t="s">
        <v>325</v>
      </c>
      <c r="B124" s="3" t="s">
        <v>85</v>
      </c>
      <c r="C124" s="3" t="s">
        <v>326</v>
      </c>
      <c r="D124" s="78" t="s">
        <v>327</v>
      </c>
      <c r="E124" s="78"/>
      <c r="F124" s="3" t="s">
        <v>124</v>
      </c>
      <c r="G124" s="31">
        <v>18.9</v>
      </c>
      <c r="H124" s="31">
        <v>0</v>
      </c>
      <c r="I124" s="31">
        <f>G124*H124</f>
        <v>0</v>
      </c>
      <c r="J124" s="31">
        <v>0.01452</v>
      </c>
      <c r="K124" s="31">
        <f>G124*J124</f>
        <v>0.274428</v>
      </c>
      <c r="L124" s="59" t="s">
        <v>125</v>
      </c>
      <c r="Z124" s="31">
        <f>IF(AQ124="5",BJ124,0)</f>
        <v>0</v>
      </c>
      <c r="AB124" s="31">
        <f>IF(AQ124="1",BH124,0)</f>
        <v>0</v>
      </c>
      <c r="AC124" s="31">
        <f>IF(AQ124="1",BI124,0)</f>
        <v>0</v>
      </c>
      <c r="AD124" s="31">
        <f>IF(AQ124="7",BH124,0)</f>
        <v>0</v>
      </c>
      <c r="AE124" s="31">
        <f>IF(AQ124="7",BI124,0)</f>
        <v>0</v>
      </c>
      <c r="AF124" s="31">
        <f>IF(AQ124="2",BH124,0)</f>
        <v>0</v>
      </c>
      <c r="AG124" s="31">
        <f>IF(AQ124="2",BI124,0)</f>
        <v>0</v>
      </c>
      <c r="AH124" s="31">
        <f>IF(AQ124="0",BJ124,0)</f>
        <v>0</v>
      </c>
      <c r="AI124" s="42" t="s">
        <v>85</v>
      </c>
      <c r="AJ124" s="31">
        <f>IF(AN124=0,I124,0)</f>
        <v>0</v>
      </c>
      <c r="AK124" s="31">
        <f>IF(AN124=12,I124,0)</f>
        <v>0</v>
      </c>
      <c r="AL124" s="31">
        <f>IF(AN124=21,I124,0)</f>
        <v>0</v>
      </c>
      <c r="AN124" s="31">
        <v>21</v>
      </c>
      <c r="AO124" s="31">
        <f>H124*0.55224424561762</f>
        <v>0</v>
      </c>
      <c r="AP124" s="31">
        <f>H124*(1-0.55224424561762)</f>
        <v>0</v>
      </c>
      <c r="AQ124" s="32" t="s">
        <v>154</v>
      </c>
      <c r="AV124" s="31">
        <f>AW124+AX124</f>
        <v>0</v>
      </c>
      <c r="AW124" s="31">
        <f>G124*AO124</f>
        <v>0</v>
      </c>
      <c r="AX124" s="31">
        <f>G124*AP124</f>
        <v>0</v>
      </c>
      <c r="AY124" s="32" t="s">
        <v>210</v>
      </c>
      <c r="AZ124" s="32" t="s">
        <v>211</v>
      </c>
      <c r="BA124" s="42" t="s">
        <v>128</v>
      </c>
      <c r="BC124" s="31">
        <f>AW124+AX124</f>
        <v>0</v>
      </c>
      <c r="BD124" s="31">
        <f>H124/(100-BE124)*100</f>
        <v>0</v>
      </c>
      <c r="BE124" s="31">
        <v>0</v>
      </c>
      <c r="BF124" s="31">
        <f>K124</f>
        <v>0.274428</v>
      </c>
      <c r="BH124" s="31">
        <f>G124*AO124</f>
        <v>0</v>
      </c>
      <c r="BI124" s="31">
        <f>G124*AP124</f>
        <v>0</v>
      </c>
      <c r="BJ124" s="31">
        <f>G124*H124</f>
        <v>0</v>
      </c>
      <c r="BK124" s="31"/>
      <c r="BL124" s="31">
        <v>762</v>
      </c>
      <c r="BW124" s="31">
        <v>21</v>
      </c>
    </row>
    <row r="125" spans="1:12" ht="15" customHeight="1">
      <c r="A125" s="60"/>
      <c r="D125" s="61" t="s">
        <v>329</v>
      </c>
      <c r="E125" s="62"/>
      <c r="G125" s="63">
        <v>18.900000000000002</v>
      </c>
      <c r="L125" s="64"/>
    </row>
    <row r="126" spans="1:75" ht="13.5" customHeight="1">
      <c r="A126" s="30" t="s">
        <v>330</v>
      </c>
      <c r="B126" s="3" t="s">
        <v>85</v>
      </c>
      <c r="C126" s="3" t="s">
        <v>331</v>
      </c>
      <c r="D126" s="78" t="s">
        <v>332</v>
      </c>
      <c r="E126" s="78"/>
      <c r="F126" s="3" t="s">
        <v>61</v>
      </c>
      <c r="G126" s="31">
        <v>6129.1435</v>
      </c>
      <c r="H126" s="31">
        <v>0</v>
      </c>
      <c r="I126" s="31">
        <f>G126*H126</f>
        <v>0</v>
      </c>
      <c r="J126" s="31">
        <v>0</v>
      </c>
      <c r="K126" s="31">
        <f>G126*J126</f>
        <v>0</v>
      </c>
      <c r="L126" s="59" t="s">
        <v>125</v>
      </c>
      <c r="Z126" s="31">
        <f>IF(AQ126="5",BJ126,0)</f>
        <v>0</v>
      </c>
      <c r="AB126" s="31">
        <f>IF(AQ126="1",BH126,0)</f>
        <v>0</v>
      </c>
      <c r="AC126" s="31">
        <f>IF(AQ126="1",BI126,0)</f>
        <v>0</v>
      </c>
      <c r="AD126" s="31">
        <f>IF(AQ126="7",BH126,0)</f>
        <v>0</v>
      </c>
      <c r="AE126" s="31">
        <f>IF(AQ126="7",BI126,0)</f>
        <v>0</v>
      </c>
      <c r="AF126" s="31">
        <f>IF(AQ126="2",BH126,0)</f>
        <v>0</v>
      </c>
      <c r="AG126" s="31">
        <f>IF(AQ126="2",BI126,0)</f>
        <v>0</v>
      </c>
      <c r="AH126" s="31">
        <f>IF(AQ126="0",BJ126,0)</f>
        <v>0</v>
      </c>
      <c r="AI126" s="42" t="s">
        <v>85</v>
      </c>
      <c r="AJ126" s="31">
        <f>IF(AN126=0,I126,0)</f>
        <v>0</v>
      </c>
      <c r="AK126" s="31">
        <f>IF(AN126=12,I126,0)</f>
        <v>0</v>
      </c>
      <c r="AL126" s="31">
        <f>IF(AN126=21,I126,0)</f>
        <v>0</v>
      </c>
      <c r="AN126" s="31">
        <v>21</v>
      </c>
      <c r="AO126" s="31">
        <f>H126*0</f>
        <v>0</v>
      </c>
      <c r="AP126" s="31">
        <f>H126*(1-0)</f>
        <v>0</v>
      </c>
      <c r="AQ126" s="32" t="s">
        <v>146</v>
      </c>
      <c r="AV126" s="31">
        <f>AW126+AX126</f>
        <v>0</v>
      </c>
      <c r="AW126" s="31">
        <f>G126*AO126</f>
        <v>0</v>
      </c>
      <c r="AX126" s="31">
        <f>G126*AP126</f>
        <v>0</v>
      </c>
      <c r="AY126" s="32" t="s">
        <v>210</v>
      </c>
      <c r="AZ126" s="32" t="s">
        <v>211</v>
      </c>
      <c r="BA126" s="42" t="s">
        <v>128</v>
      </c>
      <c r="BC126" s="31">
        <f>AW126+AX126</f>
        <v>0</v>
      </c>
      <c r="BD126" s="31">
        <f>H126/(100-BE126)*100</f>
        <v>0</v>
      </c>
      <c r="BE126" s="31">
        <v>0</v>
      </c>
      <c r="BF126" s="31">
        <f>K126</f>
        <v>0</v>
      </c>
      <c r="BH126" s="31">
        <f>G126*AO126</f>
        <v>0</v>
      </c>
      <c r="BI126" s="31">
        <f>G126*AP126</f>
        <v>0</v>
      </c>
      <c r="BJ126" s="31">
        <f>G126*H126</f>
        <v>0</v>
      </c>
      <c r="BK126" s="31"/>
      <c r="BL126" s="31">
        <v>762</v>
      </c>
      <c r="BW126" s="31">
        <v>21</v>
      </c>
    </row>
    <row r="127" spans="1:12" ht="15" customHeight="1">
      <c r="A127" s="60"/>
      <c r="D127" s="61" t="s">
        <v>333</v>
      </c>
      <c r="E127" s="62"/>
      <c r="G127" s="63">
        <v>5329.69</v>
      </c>
      <c r="L127" s="64"/>
    </row>
    <row r="128" spans="1:12" ht="15" customHeight="1">
      <c r="A128" s="60"/>
      <c r="D128" s="61" t="s">
        <v>334</v>
      </c>
      <c r="E128" s="62"/>
      <c r="G128" s="63">
        <v>799.4535000000001</v>
      </c>
      <c r="L128" s="64"/>
    </row>
    <row r="129" spans="1:47" ht="15" customHeight="1">
      <c r="A129" s="55"/>
      <c r="B129" s="56" t="s">
        <v>85</v>
      </c>
      <c r="C129" s="56" t="s">
        <v>335</v>
      </c>
      <c r="D129" s="122" t="s">
        <v>336</v>
      </c>
      <c r="E129" s="122"/>
      <c r="F129" s="57" t="s">
        <v>79</v>
      </c>
      <c r="G129" s="57" t="s">
        <v>79</v>
      </c>
      <c r="H129" s="57" t="s">
        <v>79</v>
      </c>
      <c r="I129" s="36">
        <f>SUM(I130:I170)</f>
        <v>0</v>
      </c>
      <c r="J129" s="42"/>
      <c r="K129" s="36">
        <f>SUM(K130:K170)</f>
        <v>3.7227555999999997</v>
      </c>
      <c r="L129" s="58"/>
      <c r="AI129" s="42" t="s">
        <v>85</v>
      </c>
      <c r="AS129" s="36">
        <f>SUM(AJ130:AJ170)</f>
        <v>0</v>
      </c>
      <c r="AT129" s="36">
        <f>SUM(AK130:AK170)</f>
        <v>0</v>
      </c>
      <c r="AU129" s="36">
        <f>SUM(AL130:AL170)</f>
        <v>0</v>
      </c>
    </row>
    <row r="130" spans="1:75" ht="13.5" customHeight="1">
      <c r="A130" s="30" t="s">
        <v>337</v>
      </c>
      <c r="B130" s="3" t="s">
        <v>85</v>
      </c>
      <c r="C130" s="3" t="s">
        <v>338</v>
      </c>
      <c r="D130" s="78" t="s">
        <v>339</v>
      </c>
      <c r="E130" s="78"/>
      <c r="F130" s="3" t="s">
        <v>124</v>
      </c>
      <c r="G130" s="31">
        <v>17.2</v>
      </c>
      <c r="H130" s="31">
        <v>0</v>
      </c>
      <c r="I130" s="31">
        <f>G130*H130</f>
        <v>0</v>
      </c>
      <c r="J130" s="31">
        <v>0.00732</v>
      </c>
      <c r="K130" s="31">
        <f>G130*J130</f>
        <v>0.125904</v>
      </c>
      <c r="L130" s="59" t="s">
        <v>125</v>
      </c>
      <c r="Z130" s="31">
        <f>IF(AQ130="5",BJ130,0)</f>
        <v>0</v>
      </c>
      <c r="AB130" s="31">
        <f>IF(AQ130="1",BH130,0)</f>
        <v>0</v>
      </c>
      <c r="AC130" s="31">
        <f>IF(AQ130="1",BI130,0)</f>
        <v>0</v>
      </c>
      <c r="AD130" s="31">
        <f>IF(AQ130="7",BH130,0)</f>
        <v>0</v>
      </c>
      <c r="AE130" s="31">
        <f>IF(AQ130="7",BI130,0)</f>
        <v>0</v>
      </c>
      <c r="AF130" s="31">
        <f>IF(AQ130="2",BH130,0)</f>
        <v>0</v>
      </c>
      <c r="AG130" s="31">
        <f>IF(AQ130="2",BI130,0)</f>
        <v>0</v>
      </c>
      <c r="AH130" s="31">
        <f>IF(AQ130="0",BJ130,0)</f>
        <v>0</v>
      </c>
      <c r="AI130" s="42" t="s">
        <v>85</v>
      </c>
      <c r="AJ130" s="31">
        <f>IF(AN130=0,I130,0)</f>
        <v>0</v>
      </c>
      <c r="AK130" s="31">
        <f>IF(AN130=12,I130,0)</f>
        <v>0</v>
      </c>
      <c r="AL130" s="31">
        <f>IF(AN130=21,I130,0)</f>
        <v>0</v>
      </c>
      <c r="AN130" s="31">
        <v>21</v>
      </c>
      <c r="AO130" s="31">
        <f>H130*0</f>
        <v>0</v>
      </c>
      <c r="AP130" s="31">
        <f>H130*(1-0)</f>
        <v>0</v>
      </c>
      <c r="AQ130" s="32" t="s">
        <v>154</v>
      </c>
      <c r="AV130" s="31">
        <f>AW130+AX130</f>
        <v>0</v>
      </c>
      <c r="AW130" s="31">
        <f>G130*AO130</f>
        <v>0</v>
      </c>
      <c r="AX130" s="31">
        <f>G130*AP130</f>
        <v>0</v>
      </c>
      <c r="AY130" s="32" t="s">
        <v>340</v>
      </c>
      <c r="AZ130" s="32" t="s">
        <v>211</v>
      </c>
      <c r="BA130" s="42" t="s">
        <v>128</v>
      </c>
      <c r="BC130" s="31">
        <f>AW130+AX130</f>
        <v>0</v>
      </c>
      <c r="BD130" s="31">
        <f>H130/(100-BE130)*100</f>
        <v>0</v>
      </c>
      <c r="BE130" s="31">
        <v>0</v>
      </c>
      <c r="BF130" s="31">
        <f>K130</f>
        <v>0.125904</v>
      </c>
      <c r="BH130" s="31">
        <f>G130*AO130</f>
        <v>0</v>
      </c>
      <c r="BI130" s="31">
        <f>G130*AP130</f>
        <v>0</v>
      </c>
      <c r="BJ130" s="31">
        <f>G130*H130</f>
        <v>0</v>
      </c>
      <c r="BK130" s="31"/>
      <c r="BL130" s="31">
        <v>764</v>
      </c>
      <c r="BW130" s="31">
        <v>21</v>
      </c>
    </row>
    <row r="131" spans="1:12" ht="15" customHeight="1">
      <c r="A131" s="60"/>
      <c r="D131" s="61" t="s">
        <v>341</v>
      </c>
      <c r="E131" s="62"/>
      <c r="G131" s="63">
        <v>17.200000000000003</v>
      </c>
      <c r="L131" s="64"/>
    </row>
    <row r="132" spans="1:75" ht="13.5" customHeight="1">
      <c r="A132" s="30" t="s">
        <v>342</v>
      </c>
      <c r="B132" s="3" t="s">
        <v>85</v>
      </c>
      <c r="C132" s="3" t="s">
        <v>343</v>
      </c>
      <c r="D132" s="78" t="s">
        <v>344</v>
      </c>
      <c r="E132" s="78"/>
      <c r="F132" s="3" t="s">
        <v>209</v>
      </c>
      <c r="G132" s="31">
        <v>45.04</v>
      </c>
      <c r="H132" s="31">
        <v>0</v>
      </c>
      <c r="I132" s="31">
        <f>G132*H132</f>
        <v>0</v>
      </c>
      <c r="J132" s="31">
        <v>0.00307</v>
      </c>
      <c r="K132" s="31">
        <f>G132*J132</f>
        <v>0.1382728</v>
      </c>
      <c r="L132" s="59" t="s">
        <v>125</v>
      </c>
      <c r="Z132" s="31">
        <f>IF(AQ132="5",BJ132,0)</f>
        <v>0</v>
      </c>
      <c r="AB132" s="31">
        <f>IF(AQ132="1",BH132,0)</f>
        <v>0</v>
      </c>
      <c r="AC132" s="31">
        <f>IF(AQ132="1",BI132,0)</f>
        <v>0</v>
      </c>
      <c r="AD132" s="31">
        <f>IF(AQ132="7",BH132,0)</f>
        <v>0</v>
      </c>
      <c r="AE132" s="31">
        <f>IF(AQ132="7",BI132,0)</f>
        <v>0</v>
      </c>
      <c r="AF132" s="31">
        <f>IF(AQ132="2",BH132,0)</f>
        <v>0</v>
      </c>
      <c r="AG132" s="31">
        <f>IF(AQ132="2",BI132,0)</f>
        <v>0</v>
      </c>
      <c r="AH132" s="31">
        <f>IF(AQ132="0",BJ132,0)</f>
        <v>0</v>
      </c>
      <c r="AI132" s="42" t="s">
        <v>85</v>
      </c>
      <c r="AJ132" s="31">
        <f>IF(AN132=0,I132,0)</f>
        <v>0</v>
      </c>
      <c r="AK132" s="31">
        <f>IF(AN132=12,I132,0)</f>
        <v>0</v>
      </c>
      <c r="AL132" s="31">
        <f>IF(AN132=21,I132,0)</f>
        <v>0</v>
      </c>
      <c r="AN132" s="31">
        <v>21</v>
      </c>
      <c r="AO132" s="31">
        <f>H132*0</f>
        <v>0</v>
      </c>
      <c r="AP132" s="31">
        <f>H132*(1-0)</f>
        <v>0</v>
      </c>
      <c r="AQ132" s="32" t="s">
        <v>154</v>
      </c>
      <c r="AV132" s="31">
        <f>AW132+AX132</f>
        <v>0</v>
      </c>
      <c r="AW132" s="31">
        <f>G132*AO132</f>
        <v>0</v>
      </c>
      <c r="AX132" s="31">
        <f>G132*AP132</f>
        <v>0</v>
      </c>
      <c r="AY132" s="32" t="s">
        <v>340</v>
      </c>
      <c r="AZ132" s="32" t="s">
        <v>211</v>
      </c>
      <c r="BA132" s="42" t="s">
        <v>128</v>
      </c>
      <c r="BC132" s="31">
        <f>AW132+AX132</f>
        <v>0</v>
      </c>
      <c r="BD132" s="31">
        <f>H132/(100-BE132)*100</f>
        <v>0</v>
      </c>
      <c r="BE132" s="31">
        <v>0</v>
      </c>
      <c r="BF132" s="31">
        <f>K132</f>
        <v>0.1382728</v>
      </c>
      <c r="BH132" s="31">
        <f>G132*AO132</f>
        <v>0</v>
      </c>
      <c r="BI132" s="31">
        <f>G132*AP132</f>
        <v>0</v>
      </c>
      <c r="BJ132" s="31">
        <f>G132*H132</f>
        <v>0</v>
      </c>
      <c r="BK132" s="31"/>
      <c r="BL132" s="31">
        <v>764</v>
      </c>
      <c r="BW132" s="31">
        <v>21</v>
      </c>
    </row>
    <row r="133" spans="1:12" ht="15" customHeight="1">
      <c r="A133" s="60"/>
      <c r="D133" s="61" t="s">
        <v>345</v>
      </c>
      <c r="E133" s="62"/>
      <c r="G133" s="63">
        <v>45.040000000000006</v>
      </c>
      <c r="L133" s="64"/>
    </row>
    <row r="134" spans="1:75" ht="13.5" customHeight="1">
      <c r="A134" s="30" t="s">
        <v>346</v>
      </c>
      <c r="B134" s="3" t="s">
        <v>85</v>
      </c>
      <c r="C134" s="3" t="s">
        <v>347</v>
      </c>
      <c r="D134" s="78" t="s">
        <v>348</v>
      </c>
      <c r="E134" s="78"/>
      <c r="F134" s="3" t="s">
        <v>349</v>
      </c>
      <c r="G134" s="31">
        <v>250</v>
      </c>
      <c r="H134" s="31">
        <v>0</v>
      </c>
      <c r="I134" s="31">
        <f>G134*H134</f>
        <v>0</v>
      </c>
      <c r="J134" s="31">
        <v>0.00416</v>
      </c>
      <c r="K134" s="31">
        <f>G134*J134</f>
        <v>1.0399999999999998</v>
      </c>
      <c r="L134" s="59" t="s">
        <v>125</v>
      </c>
      <c r="Z134" s="31">
        <f>IF(AQ134="5",BJ134,0)</f>
        <v>0</v>
      </c>
      <c r="AB134" s="31">
        <f>IF(AQ134="1",BH134,0)</f>
        <v>0</v>
      </c>
      <c r="AC134" s="31">
        <f>IF(AQ134="1",BI134,0)</f>
        <v>0</v>
      </c>
      <c r="AD134" s="31">
        <f>IF(AQ134="7",BH134,0)</f>
        <v>0</v>
      </c>
      <c r="AE134" s="31">
        <f>IF(AQ134="7",BI134,0)</f>
        <v>0</v>
      </c>
      <c r="AF134" s="31">
        <f>IF(AQ134="2",BH134,0)</f>
        <v>0</v>
      </c>
      <c r="AG134" s="31">
        <f>IF(AQ134="2",BI134,0)</f>
        <v>0</v>
      </c>
      <c r="AH134" s="31">
        <f>IF(AQ134="0",BJ134,0)</f>
        <v>0</v>
      </c>
      <c r="AI134" s="42" t="s">
        <v>85</v>
      </c>
      <c r="AJ134" s="31">
        <f>IF(AN134=0,I134,0)</f>
        <v>0</v>
      </c>
      <c r="AK134" s="31">
        <f>IF(AN134=12,I134,0)</f>
        <v>0</v>
      </c>
      <c r="AL134" s="31">
        <f>IF(AN134=21,I134,0)</f>
        <v>0</v>
      </c>
      <c r="AN134" s="31">
        <v>21</v>
      </c>
      <c r="AO134" s="31">
        <f>H134*0</f>
        <v>0</v>
      </c>
      <c r="AP134" s="31">
        <f>H134*(1-0)</f>
        <v>0</v>
      </c>
      <c r="AQ134" s="32" t="s">
        <v>154</v>
      </c>
      <c r="AV134" s="31">
        <f>AW134+AX134</f>
        <v>0</v>
      </c>
      <c r="AW134" s="31">
        <f>G134*AO134</f>
        <v>0</v>
      </c>
      <c r="AX134" s="31">
        <f>G134*AP134</f>
        <v>0</v>
      </c>
      <c r="AY134" s="32" t="s">
        <v>340</v>
      </c>
      <c r="AZ134" s="32" t="s">
        <v>211</v>
      </c>
      <c r="BA134" s="42" t="s">
        <v>128</v>
      </c>
      <c r="BC134" s="31">
        <f>AW134+AX134</f>
        <v>0</v>
      </c>
      <c r="BD134" s="31">
        <f>H134/(100-BE134)*100</f>
        <v>0</v>
      </c>
      <c r="BE134" s="31">
        <v>0</v>
      </c>
      <c r="BF134" s="31">
        <f>K134</f>
        <v>1.0399999999999998</v>
      </c>
      <c r="BH134" s="31">
        <f>G134*AO134</f>
        <v>0</v>
      </c>
      <c r="BI134" s="31">
        <f>G134*AP134</f>
        <v>0</v>
      </c>
      <c r="BJ134" s="31">
        <f>G134*H134</f>
        <v>0</v>
      </c>
      <c r="BK134" s="31"/>
      <c r="BL134" s="31">
        <v>764</v>
      </c>
      <c r="BW134" s="31">
        <v>21</v>
      </c>
    </row>
    <row r="135" spans="1:12" ht="15" customHeight="1">
      <c r="A135" s="60"/>
      <c r="D135" s="61" t="s">
        <v>350</v>
      </c>
      <c r="E135" s="62"/>
      <c r="G135" s="63">
        <v>250.00000000000003</v>
      </c>
      <c r="L135" s="64"/>
    </row>
    <row r="136" spans="1:75" ht="13.5" customHeight="1">
      <c r="A136" s="30" t="s">
        <v>351</v>
      </c>
      <c r="B136" s="3" t="s">
        <v>85</v>
      </c>
      <c r="C136" s="3" t="s">
        <v>352</v>
      </c>
      <c r="D136" s="78" t="s">
        <v>353</v>
      </c>
      <c r="E136" s="78"/>
      <c r="F136" s="3" t="s">
        <v>209</v>
      </c>
      <c r="G136" s="31">
        <v>123.69</v>
      </c>
      <c r="H136" s="31">
        <v>0</v>
      </c>
      <c r="I136" s="31">
        <f>G136*H136</f>
        <v>0</v>
      </c>
      <c r="J136" s="31">
        <v>0.00392</v>
      </c>
      <c r="K136" s="31">
        <f>G136*J136</f>
        <v>0.4848648</v>
      </c>
      <c r="L136" s="59" t="s">
        <v>125</v>
      </c>
      <c r="Z136" s="31">
        <f>IF(AQ136="5",BJ136,0)</f>
        <v>0</v>
      </c>
      <c r="AB136" s="31">
        <f>IF(AQ136="1",BH136,0)</f>
        <v>0</v>
      </c>
      <c r="AC136" s="31">
        <f>IF(AQ136="1",BI136,0)</f>
        <v>0</v>
      </c>
      <c r="AD136" s="31">
        <f>IF(AQ136="7",BH136,0)</f>
        <v>0</v>
      </c>
      <c r="AE136" s="31">
        <f>IF(AQ136="7",BI136,0)</f>
        <v>0</v>
      </c>
      <c r="AF136" s="31">
        <f>IF(AQ136="2",BH136,0)</f>
        <v>0</v>
      </c>
      <c r="AG136" s="31">
        <f>IF(AQ136="2",BI136,0)</f>
        <v>0</v>
      </c>
      <c r="AH136" s="31">
        <f>IF(AQ136="0",BJ136,0)</f>
        <v>0</v>
      </c>
      <c r="AI136" s="42" t="s">
        <v>85</v>
      </c>
      <c r="AJ136" s="31">
        <f>IF(AN136=0,I136,0)</f>
        <v>0</v>
      </c>
      <c r="AK136" s="31">
        <f>IF(AN136=12,I136,0)</f>
        <v>0</v>
      </c>
      <c r="AL136" s="31">
        <f>IF(AN136=21,I136,0)</f>
        <v>0</v>
      </c>
      <c r="AN136" s="31">
        <v>21</v>
      </c>
      <c r="AO136" s="31">
        <f>H136*0</f>
        <v>0</v>
      </c>
      <c r="AP136" s="31">
        <f>H136*(1-0)</f>
        <v>0</v>
      </c>
      <c r="AQ136" s="32" t="s">
        <v>154</v>
      </c>
      <c r="AV136" s="31">
        <f>AW136+AX136</f>
        <v>0</v>
      </c>
      <c r="AW136" s="31">
        <f>G136*AO136</f>
        <v>0</v>
      </c>
      <c r="AX136" s="31">
        <f>G136*AP136</f>
        <v>0</v>
      </c>
      <c r="AY136" s="32" t="s">
        <v>340</v>
      </c>
      <c r="AZ136" s="32" t="s">
        <v>211</v>
      </c>
      <c r="BA136" s="42" t="s">
        <v>128</v>
      </c>
      <c r="BC136" s="31">
        <f>AW136+AX136</f>
        <v>0</v>
      </c>
      <c r="BD136" s="31">
        <f>H136/(100-BE136)*100</f>
        <v>0</v>
      </c>
      <c r="BE136" s="31">
        <v>0</v>
      </c>
      <c r="BF136" s="31">
        <f>K136</f>
        <v>0.4848648</v>
      </c>
      <c r="BH136" s="31">
        <f>G136*AO136</f>
        <v>0</v>
      </c>
      <c r="BI136" s="31">
        <f>G136*AP136</f>
        <v>0</v>
      </c>
      <c r="BJ136" s="31">
        <f>G136*H136</f>
        <v>0</v>
      </c>
      <c r="BK136" s="31"/>
      <c r="BL136" s="31">
        <v>764</v>
      </c>
      <c r="BW136" s="31">
        <v>21</v>
      </c>
    </row>
    <row r="137" spans="1:12" ht="15" customHeight="1">
      <c r="A137" s="60"/>
      <c r="D137" s="61" t="s">
        <v>354</v>
      </c>
      <c r="E137" s="62"/>
      <c r="G137" s="63">
        <v>123.69000000000001</v>
      </c>
      <c r="L137" s="64"/>
    </row>
    <row r="138" spans="1:75" ht="13.5" customHeight="1">
      <c r="A138" s="30" t="s">
        <v>355</v>
      </c>
      <c r="B138" s="3" t="s">
        <v>85</v>
      </c>
      <c r="C138" s="3" t="s">
        <v>356</v>
      </c>
      <c r="D138" s="78" t="s">
        <v>357</v>
      </c>
      <c r="E138" s="78"/>
      <c r="F138" s="3" t="s">
        <v>209</v>
      </c>
      <c r="G138" s="31">
        <v>50.9</v>
      </c>
      <c r="H138" s="31">
        <v>0</v>
      </c>
      <c r="I138" s="31">
        <f>G138*H138</f>
        <v>0</v>
      </c>
      <c r="J138" s="31">
        <v>0.00285</v>
      </c>
      <c r="K138" s="31">
        <f>G138*J138</f>
        <v>0.145065</v>
      </c>
      <c r="L138" s="59" t="s">
        <v>125</v>
      </c>
      <c r="Z138" s="31">
        <f>IF(AQ138="5",BJ138,0)</f>
        <v>0</v>
      </c>
      <c r="AB138" s="31">
        <f>IF(AQ138="1",BH138,0)</f>
        <v>0</v>
      </c>
      <c r="AC138" s="31">
        <f>IF(AQ138="1",BI138,0)</f>
        <v>0</v>
      </c>
      <c r="AD138" s="31">
        <f>IF(AQ138="7",BH138,0)</f>
        <v>0</v>
      </c>
      <c r="AE138" s="31">
        <f>IF(AQ138="7",BI138,0)</f>
        <v>0</v>
      </c>
      <c r="AF138" s="31">
        <f>IF(AQ138="2",BH138,0)</f>
        <v>0</v>
      </c>
      <c r="AG138" s="31">
        <f>IF(AQ138="2",BI138,0)</f>
        <v>0</v>
      </c>
      <c r="AH138" s="31">
        <f>IF(AQ138="0",BJ138,0)</f>
        <v>0</v>
      </c>
      <c r="AI138" s="42" t="s">
        <v>85</v>
      </c>
      <c r="AJ138" s="31">
        <f>IF(AN138=0,I138,0)</f>
        <v>0</v>
      </c>
      <c r="AK138" s="31">
        <f>IF(AN138=12,I138,0)</f>
        <v>0</v>
      </c>
      <c r="AL138" s="31">
        <f>IF(AN138=21,I138,0)</f>
        <v>0</v>
      </c>
      <c r="AN138" s="31">
        <v>21</v>
      </c>
      <c r="AO138" s="31">
        <f>H138*0</f>
        <v>0</v>
      </c>
      <c r="AP138" s="31">
        <f>H138*(1-0)</f>
        <v>0</v>
      </c>
      <c r="AQ138" s="32" t="s">
        <v>154</v>
      </c>
      <c r="AV138" s="31">
        <f>AW138+AX138</f>
        <v>0</v>
      </c>
      <c r="AW138" s="31">
        <f>G138*AO138</f>
        <v>0</v>
      </c>
      <c r="AX138" s="31">
        <f>G138*AP138</f>
        <v>0</v>
      </c>
      <c r="AY138" s="32" t="s">
        <v>340</v>
      </c>
      <c r="AZ138" s="32" t="s">
        <v>211</v>
      </c>
      <c r="BA138" s="42" t="s">
        <v>128</v>
      </c>
      <c r="BC138" s="31">
        <f>AW138+AX138</f>
        <v>0</v>
      </c>
      <c r="BD138" s="31">
        <f>H138/(100-BE138)*100</f>
        <v>0</v>
      </c>
      <c r="BE138" s="31">
        <v>0</v>
      </c>
      <c r="BF138" s="31">
        <f>K138</f>
        <v>0.145065</v>
      </c>
      <c r="BH138" s="31">
        <f>G138*AO138</f>
        <v>0</v>
      </c>
      <c r="BI138" s="31">
        <f>G138*AP138</f>
        <v>0</v>
      </c>
      <c r="BJ138" s="31">
        <f>G138*H138</f>
        <v>0</v>
      </c>
      <c r="BK138" s="31"/>
      <c r="BL138" s="31">
        <v>764</v>
      </c>
      <c r="BW138" s="31">
        <v>21</v>
      </c>
    </row>
    <row r="139" spans="1:12" ht="15" customHeight="1">
      <c r="A139" s="60"/>
      <c r="D139" s="61" t="s">
        <v>358</v>
      </c>
      <c r="E139" s="62"/>
      <c r="G139" s="63">
        <v>50.900000000000006</v>
      </c>
      <c r="L139" s="64"/>
    </row>
    <row r="140" spans="1:75" ht="13.5" customHeight="1">
      <c r="A140" s="30" t="s">
        <v>359</v>
      </c>
      <c r="B140" s="3" t="s">
        <v>85</v>
      </c>
      <c r="C140" s="3" t="s">
        <v>360</v>
      </c>
      <c r="D140" s="78" t="s">
        <v>361</v>
      </c>
      <c r="E140" s="78"/>
      <c r="F140" s="3" t="s">
        <v>209</v>
      </c>
      <c r="G140" s="31">
        <v>8</v>
      </c>
      <c r="H140" s="31">
        <v>0</v>
      </c>
      <c r="I140" s="31">
        <f>G140*H140</f>
        <v>0</v>
      </c>
      <c r="J140" s="31">
        <v>0.00263</v>
      </c>
      <c r="K140" s="31">
        <f>G140*J140</f>
        <v>0.02104</v>
      </c>
      <c r="L140" s="59" t="s">
        <v>125</v>
      </c>
      <c r="Z140" s="31">
        <f>IF(AQ140="5",BJ140,0)</f>
        <v>0</v>
      </c>
      <c r="AB140" s="31">
        <f>IF(AQ140="1",BH140,0)</f>
        <v>0</v>
      </c>
      <c r="AC140" s="31">
        <f>IF(AQ140="1",BI140,0)</f>
        <v>0</v>
      </c>
      <c r="AD140" s="31">
        <f>IF(AQ140="7",BH140,0)</f>
        <v>0</v>
      </c>
      <c r="AE140" s="31">
        <f>IF(AQ140="7",BI140,0)</f>
        <v>0</v>
      </c>
      <c r="AF140" s="31">
        <f>IF(AQ140="2",BH140,0)</f>
        <v>0</v>
      </c>
      <c r="AG140" s="31">
        <f>IF(AQ140="2",BI140,0)</f>
        <v>0</v>
      </c>
      <c r="AH140" s="31">
        <f>IF(AQ140="0",BJ140,0)</f>
        <v>0</v>
      </c>
      <c r="AI140" s="42" t="s">
        <v>85</v>
      </c>
      <c r="AJ140" s="31">
        <f>IF(AN140=0,I140,0)</f>
        <v>0</v>
      </c>
      <c r="AK140" s="31">
        <f>IF(AN140=12,I140,0)</f>
        <v>0</v>
      </c>
      <c r="AL140" s="31">
        <f>IF(AN140=21,I140,0)</f>
        <v>0</v>
      </c>
      <c r="AN140" s="31">
        <v>21</v>
      </c>
      <c r="AO140" s="31">
        <f>H140*0.706460017969452</f>
        <v>0</v>
      </c>
      <c r="AP140" s="31">
        <f>H140*(1-0.706460017969452)</f>
        <v>0</v>
      </c>
      <c r="AQ140" s="32" t="s">
        <v>154</v>
      </c>
      <c r="AV140" s="31">
        <f>AW140+AX140</f>
        <v>0</v>
      </c>
      <c r="AW140" s="31">
        <f>G140*AO140</f>
        <v>0</v>
      </c>
      <c r="AX140" s="31">
        <f>G140*AP140</f>
        <v>0</v>
      </c>
      <c r="AY140" s="32" t="s">
        <v>340</v>
      </c>
      <c r="AZ140" s="32" t="s">
        <v>211</v>
      </c>
      <c r="BA140" s="42" t="s">
        <v>128</v>
      </c>
      <c r="BC140" s="31">
        <f>AW140+AX140</f>
        <v>0</v>
      </c>
      <c r="BD140" s="31">
        <f>H140/(100-BE140)*100</f>
        <v>0</v>
      </c>
      <c r="BE140" s="31">
        <v>0</v>
      </c>
      <c r="BF140" s="31">
        <f>K140</f>
        <v>0.02104</v>
      </c>
      <c r="BH140" s="31">
        <f>G140*AO140</f>
        <v>0</v>
      </c>
      <c r="BI140" s="31">
        <f>G140*AP140</f>
        <v>0</v>
      </c>
      <c r="BJ140" s="31">
        <f>G140*H140</f>
        <v>0</v>
      </c>
      <c r="BK140" s="31"/>
      <c r="BL140" s="31">
        <v>764</v>
      </c>
      <c r="BW140" s="31">
        <v>21</v>
      </c>
    </row>
    <row r="141" spans="1:12" ht="15" customHeight="1">
      <c r="A141" s="60"/>
      <c r="D141" s="61" t="s">
        <v>362</v>
      </c>
      <c r="E141" s="62"/>
      <c r="G141" s="63">
        <v>8</v>
      </c>
      <c r="L141" s="64"/>
    </row>
    <row r="142" spans="1:75" ht="13.5" customHeight="1">
      <c r="A142" s="30" t="s">
        <v>363</v>
      </c>
      <c r="B142" s="3" t="s">
        <v>85</v>
      </c>
      <c r="C142" s="3" t="s">
        <v>364</v>
      </c>
      <c r="D142" s="78" t="s">
        <v>365</v>
      </c>
      <c r="E142" s="78"/>
      <c r="F142" s="3" t="s">
        <v>209</v>
      </c>
      <c r="G142" s="31">
        <v>11.01</v>
      </c>
      <c r="H142" s="31">
        <v>0</v>
      </c>
      <c r="I142" s="31">
        <f>G142*H142</f>
        <v>0</v>
      </c>
      <c r="J142" s="31">
        <v>0.00146</v>
      </c>
      <c r="K142" s="31">
        <f>G142*J142</f>
        <v>0.016074599999999998</v>
      </c>
      <c r="L142" s="59" t="s">
        <v>125</v>
      </c>
      <c r="Z142" s="31">
        <f>IF(AQ142="5",BJ142,0)</f>
        <v>0</v>
      </c>
      <c r="AB142" s="31">
        <f>IF(AQ142="1",BH142,0)</f>
        <v>0</v>
      </c>
      <c r="AC142" s="31">
        <f>IF(AQ142="1",BI142,0)</f>
        <v>0</v>
      </c>
      <c r="AD142" s="31">
        <f>IF(AQ142="7",BH142,0)</f>
        <v>0</v>
      </c>
      <c r="AE142" s="31">
        <f>IF(AQ142="7",BI142,0)</f>
        <v>0</v>
      </c>
      <c r="AF142" s="31">
        <f>IF(AQ142="2",BH142,0)</f>
        <v>0</v>
      </c>
      <c r="AG142" s="31">
        <f>IF(AQ142="2",BI142,0)</f>
        <v>0</v>
      </c>
      <c r="AH142" s="31">
        <f>IF(AQ142="0",BJ142,0)</f>
        <v>0</v>
      </c>
      <c r="AI142" s="42" t="s">
        <v>85</v>
      </c>
      <c r="AJ142" s="31">
        <f>IF(AN142=0,I142,0)</f>
        <v>0</v>
      </c>
      <c r="AK142" s="31">
        <f>IF(AN142=12,I142,0)</f>
        <v>0</v>
      </c>
      <c r="AL142" s="31">
        <f>IF(AN142=21,I142,0)</f>
        <v>0</v>
      </c>
      <c r="AN142" s="31">
        <v>21</v>
      </c>
      <c r="AO142" s="31">
        <f>H142*0.954053333333333</f>
        <v>0</v>
      </c>
      <c r="AP142" s="31">
        <f>H142*(1-0.954053333333333)</f>
        <v>0</v>
      </c>
      <c r="AQ142" s="32" t="s">
        <v>154</v>
      </c>
      <c r="AV142" s="31">
        <f>AW142+AX142</f>
        <v>0</v>
      </c>
      <c r="AW142" s="31">
        <f>G142*AO142</f>
        <v>0</v>
      </c>
      <c r="AX142" s="31">
        <f>G142*AP142</f>
        <v>0</v>
      </c>
      <c r="AY142" s="32" t="s">
        <v>340</v>
      </c>
      <c r="AZ142" s="32" t="s">
        <v>211</v>
      </c>
      <c r="BA142" s="42" t="s">
        <v>128</v>
      </c>
      <c r="BC142" s="31">
        <f>AW142+AX142</f>
        <v>0</v>
      </c>
      <c r="BD142" s="31">
        <f>H142/(100-BE142)*100</f>
        <v>0</v>
      </c>
      <c r="BE142" s="31">
        <v>0</v>
      </c>
      <c r="BF142" s="31">
        <f>K142</f>
        <v>0.016074599999999998</v>
      </c>
      <c r="BH142" s="31">
        <f>G142*AO142</f>
        <v>0</v>
      </c>
      <c r="BI142" s="31">
        <f>G142*AP142</f>
        <v>0</v>
      </c>
      <c r="BJ142" s="31">
        <f>G142*H142</f>
        <v>0</v>
      </c>
      <c r="BK142" s="31"/>
      <c r="BL142" s="31">
        <v>764</v>
      </c>
      <c r="BW142" s="31">
        <v>21</v>
      </c>
    </row>
    <row r="143" spans="1:12" ht="15" customHeight="1">
      <c r="A143" s="60"/>
      <c r="D143" s="61" t="s">
        <v>366</v>
      </c>
      <c r="E143" s="62"/>
      <c r="G143" s="63">
        <v>11.010000000000002</v>
      </c>
      <c r="L143" s="64"/>
    </row>
    <row r="144" spans="1:75" ht="13.5" customHeight="1">
      <c r="A144" s="30" t="s">
        <v>367</v>
      </c>
      <c r="B144" s="3" t="s">
        <v>85</v>
      </c>
      <c r="C144" s="3" t="s">
        <v>368</v>
      </c>
      <c r="D144" s="78" t="s">
        <v>369</v>
      </c>
      <c r="E144" s="78"/>
      <c r="F144" s="3" t="s">
        <v>209</v>
      </c>
      <c r="G144" s="31">
        <v>164</v>
      </c>
      <c r="H144" s="31">
        <v>0</v>
      </c>
      <c r="I144" s="31">
        <f>G144*H144</f>
        <v>0</v>
      </c>
      <c r="J144" s="31">
        <v>0.00119</v>
      </c>
      <c r="K144" s="31">
        <f>G144*J144</f>
        <v>0.19516</v>
      </c>
      <c r="L144" s="59" t="s">
        <v>125</v>
      </c>
      <c r="Z144" s="31">
        <f>IF(AQ144="5",BJ144,0)</f>
        <v>0</v>
      </c>
      <c r="AB144" s="31">
        <f>IF(AQ144="1",BH144,0)</f>
        <v>0</v>
      </c>
      <c r="AC144" s="31">
        <f>IF(AQ144="1",BI144,0)</f>
        <v>0</v>
      </c>
      <c r="AD144" s="31">
        <f>IF(AQ144="7",BH144,0)</f>
        <v>0</v>
      </c>
      <c r="AE144" s="31">
        <f>IF(AQ144="7",BI144,0)</f>
        <v>0</v>
      </c>
      <c r="AF144" s="31">
        <f>IF(AQ144="2",BH144,0)</f>
        <v>0</v>
      </c>
      <c r="AG144" s="31">
        <f>IF(AQ144="2",BI144,0)</f>
        <v>0</v>
      </c>
      <c r="AH144" s="31">
        <f>IF(AQ144="0",BJ144,0)</f>
        <v>0</v>
      </c>
      <c r="AI144" s="42" t="s">
        <v>85</v>
      </c>
      <c r="AJ144" s="31">
        <f>IF(AN144=0,I144,0)</f>
        <v>0</v>
      </c>
      <c r="AK144" s="31">
        <f>IF(AN144=12,I144,0)</f>
        <v>0</v>
      </c>
      <c r="AL144" s="31">
        <f>IF(AN144=21,I144,0)</f>
        <v>0</v>
      </c>
      <c r="AN144" s="31">
        <v>21</v>
      </c>
      <c r="AO144" s="31">
        <f>H144*0.489880362945522</f>
        <v>0</v>
      </c>
      <c r="AP144" s="31">
        <f>H144*(1-0.489880362945522)</f>
        <v>0</v>
      </c>
      <c r="AQ144" s="32" t="s">
        <v>154</v>
      </c>
      <c r="AV144" s="31">
        <f>AW144+AX144</f>
        <v>0</v>
      </c>
      <c r="AW144" s="31">
        <f>G144*AO144</f>
        <v>0</v>
      </c>
      <c r="AX144" s="31">
        <f>G144*AP144</f>
        <v>0</v>
      </c>
      <c r="AY144" s="32" t="s">
        <v>340</v>
      </c>
      <c r="AZ144" s="32" t="s">
        <v>211</v>
      </c>
      <c r="BA144" s="42" t="s">
        <v>128</v>
      </c>
      <c r="BC144" s="31">
        <f>AW144+AX144</f>
        <v>0</v>
      </c>
      <c r="BD144" s="31">
        <f>H144/(100-BE144)*100</f>
        <v>0</v>
      </c>
      <c r="BE144" s="31">
        <v>0</v>
      </c>
      <c r="BF144" s="31">
        <f>K144</f>
        <v>0.19516</v>
      </c>
      <c r="BH144" s="31">
        <f>G144*AO144</f>
        <v>0</v>
      </c>
      <c r="BI144" s="31">
        <f>G144*AP144</f>
        <v>0</v>
      </c>
      <c r="BJ144" s="31">
        <f>G144*H144</f>
        <v>0</v>
      </c>
      <c r="BK144" s="31"/>
      <c r="BL144" s="31">
        <v>764</v>
      </c>
      <c r="BW144" s="31">
        <v>21</v>
      </c>
    </row>
    <row r="145" spans="1:12" ht="15" customHeight="1">
      <c r="A145" s="60"/>
      <c r="D145" s="61" t="s">
        <v>371</v>
      </c>
      <c r="E145" s="62"/>
      <c r="G145" s="63">
        <v>164</v>
      </c>
      <c r="L145" s="64"/>
    </row>
    <row r="146" spans="1:75" ht="13.5" customHeight="1">
      <c r="A146" s="30" t="s">
        <v>372</v>
      </c>
      <c r="B146" s="3" t="s">
        <v>85</v>
      </c>
      <c r="C146" s="3" t="s">
        <v>373</v>
      </c>
      <c r="D146" s="78" t="s">
        <v>374</v>
      </c>
      <c r="E146" s="78"/>
      <c r="F146" s="3" t="s">
        <v>209</v>
      </c>
      <c r="G146" s="31">
        <v>13.3</v>
      </c>
      <c r="H146" s="31">
        <v>0</v>
      </c>
      <c r="I146" s="31">
        <f>G146*H146</f>
        <v>0</v>
      </c>
      <c r="J146" s="31">
        <v>0.00119</v>
      </c>
      <c r="K146" s="31">
        <f>G146*J146</f>
        <v>0.015827</v>
      </c>
      <c r="L146" s="59" t="s">
        <v>125</v>
      </c>
      <c r="Z146" s="31">
        <f>IF(AQ146="5",BJ146,0)</f>
        <v>0</v>
      </c>
      <c r="AB146" s="31">
        <f>IF(AQ146="1",BH146,0)</f>
        <v>0</v>
      </c>
      <c r="AC146" s="31">
        <f>IF(AQ146="1",BI146,0)</f>
        <v>0</v>
      </c>
      <c r="AD146" s="31">
        <f>IF(AQ146="7",BH146,0)</f>
        <v>0</v>
      </c>
      <c r="AE146" s="31">
        <f>IF(AQ146="7",BI146,0)</f>
        <v>0</v>
      </c>
      <c r="AF146" s="31">
        <f>IF(AQ146="2",BH146,0)</f>
        <v>0</v>
      </c>
      <c r="AG146" s="31">
        <f>IF(AQ146="2",BI146,0)</f>
        <v>0</v>
      </c>
      <c r="AH146" s="31">
        <f>IF(AQ146="0",BJ146,0)</f>
        <v>0</v>
      </c>
      <c r="AI146" s="42" t="s">
        <v>85</v>
      </c>
      <c r="AJ146" s="31">
        <f>IF(AN146=0,I146,0)</f>
        <v>0</v>
      </c>
      <c r="AK146" s="31">
        <f>IF(AN146=12,I146,0)</f>
        <v>0</v>
      </c>
      <c r="AL146" s="31">
        <f>IF(AN146=21,I146,0)</f>
        <v>0</v>
      </c>
      <c r="AN146" s="31">
        <v>21</v>
      </c>
      <c r="AO146" s="31">
        <f>H146*0.894453125</f>
        <v>0</v>
      </c>
      <c r="AP146" s="31">
        <f>H146*(1-0.894453125)</f>
        <v>0</v>
      </c>
      <c r="AQ146" s="32" t="s">
        <v>154</v>
      </c>
      <c r="AV146" s="31">
        <f>AW146+AX146</f>
        <v>0</v>
      </c>
      <c r="AW146" s="31">
        <f>G146*AO146</f>
        <v>0</v>
      </c>
      <c r="AX146" s="31">
        <f>G146*AP146</f>
        <v>0</v>
      </c>
      <c r="AY146" s="32" t="s">
        <v>340</v>
      </c>
      <c r="AZ146" s="32" t="s">
        <v>211</v>
      </c>
      <c r="BA146" s="42" t="s">
        <v>128</v>
      </c>
      <c r="BC146" s="31">
        <f>AW146+AX146</f>
        <v>0</v>
      </c>
      <c r="BD146" s="31">
        <f>H146/(100-BE146)*100</f>
        <v>0</v>
      </c>
      <c r="BE146" s="31">
        <v>0</v>
      </c>
      <c r="BF146" s="31">
        <f>K146</f>
        <v>0.015827</v>
      </c>
      <c r="BH146" s="31">
        <f>G146*AO146</f>
        <v>0</v>
      </c>
      <c r="BI146" s="31">
        <f>G146*AP146</f>
        <v>0</v>
      </c>
      <c r="BJ146" s="31">
        <f>G146*H146</f>
        <v>0</v>
      </c>
      <c r="BK146" s="31"/>
      <c r="BL146" s="31">
        <v>764</v>
      </c>
      <c r="BW146" s="31">
        <v>21</v>
      </c>
    </row>
    <row r="147" spans="1:12" ht="15" customHeight="1">
      <c r="A147" s="60"/>
      <c r="D147" s="61" t="s">
        <v>375</v>
      </c>
      <c r="E147" s="62"/>
      <c r="G147" s="63">
        <v>13.3</v>
      </c>
      <c r="L147" s="64"/>
    </row>
    <row r="148" spans="1:75" ht="13.5" customHeight="1">
      <c r="A148" s="30" t="s">
        <v>376</v>
      </c>
      <c r="B148" s="3" t="s">
        <v>85</v>
      </c>
      <c r="C148" s="3" t="s">
        <v>377</v>
      </c>
      <c r="D148" s="78" t="s">
        <v>378</v>
      </c>
      <c r="E148" s="78"/>
      <c r="F148" s="3" t="s">
        <v>124</v>
      </c>
      <c r="G148" s="31">
        <v>19.9</v>
      </c>
      <c r="H148" s="31">
        <v>0</v>
      </c>
      <c r="I148" s="31">
        <f>G148*H148</f>
        <v>0</v>
      </c>
      <c r="J148" s="31">
        <v>0.0198</v>
      </c>
      <c r="K148" s="31">
        <f>G148*J148</f>
        <v>0.39402</v>
      </c>
      <c r="L148" s="59" t="s">
        <v>125</v>
      </c>
      <c r="Z148" s="31">
        <f>IF(AQ148="5",BJ148,0)</f>
        <v>0</v>
      </c>
      <c r="AB148" s="31">
        <f>IF(AQ148="1",BH148,0)</f>
        <v>0</v>
      </c>
      <c r="AC148" s="31">
        <f>IF(AQ148="1",BI148,0)</f>
        <v>0</v>
      </c>
      <c r="AD148" s="31">
        <f>IF(AQ148="7",BH148,0)</f>
        <v>0</v>
      </c>
      <c r="AE148" s="31">
        <f>IF(AQ148="7",BI148,0)</f>
        <v>0</v>
      </c>
      <c r="AF148" s="31">
        <f>IF(AQ148="2",BH148,0)</f>
        <v>0</v>
      </c>
      <c r="AG148" s="31">
        <f>IF(AQ148="2",BI148,0)</f>
        <v>0</v>
      </c>
      <c r="AH148" s="31">
        <f>IF(AQ148="0",BJ148,0)</f>
        <v>0</v>
      </c>
      <c r="AI148" s="42" t="s">
        <v>85</v>
      </c>
      <c r="AJ148" s="31">
        <f>IF(AN148=0,I148,0)</f>
        <v>0</v>
      </c>
      <c r="AK148" s="31">
        <f>IF(AN148=12,I148,0)</f>
        <v>0</v>
      </c>
      <c r="AL148" s="31">
        <f>IF(AN148=21,I148,0)</f>
        <v>0</v>
      </c>
      <c r="AN148" s="31">
        <v>21</v>
      </c>
      <c r="AO148" s="31">
        <f>H148*0.754466544915707</f>
        <v>0</v>
      </c>
      <c r="AP148" s="31">
        <f>H148*(1-0.754466544915707)</f>
        <v>0</v>
      </c>
      <c r="AQ148" s="32" t="s">
        <v>154</v>
      </c>
      <c r="AV148" s="31">
        <f>AW148+AX148</f>
        <v>0</v>
      </c>
      <c r="AW148" s="31">
        <f>G148*AO148</f>
        <v>0</v>
      </c>
      <c r="AX148" s="31">
        <f>G148*AP148</f>
        <v>0</v>
      </c>
      <c r="AY148" s="32" t="s">
        <v>340</v>
      </c>
      <c r="AZ148" s="32" t="s">
        <v>211</v>
      </c>
      <c r="BA148" s="42" t="s">
        <v>128</v>
      </c>
      <c r="BC148" s="31">
        <f>AW148+AX148</f>
        <v>0</v>
      </c>
      <c r="BD148" s="31">
        <f>H148/(100-BE148)*100</f>
        <v>0</v>
      </c>
      <c r="BE148" s="31">
        <v>0</v>
      </c>
      <c r="BF148" s="31">
        <f>K148</f>
        <v>0.39402</v>
      </c>
      <c r="BH148" s="31">
        <f>G148*AO148</f>
        <v>0</v>
      </c>
      <c r="BI148" s="31">
        <f>G148*AP148</f>
        <v>0</v>
      </c>
      <c r="BJ148" s="31">
        <f>G148*H148</f>
        <v>0</v>
      </c>
      <c r="BK148" s="31"/>
      <c r="BL148" s="31">
        <v>764</v>
      </c>
      <c r="BW148" s="31">
        <v>21</v>
      </c>
    </row>
    <row r="149" spans="1:12" ht="15" customHeight="1">
      <c r="A149" s="60"/>
      <c r="D149" s="61" t="s">
        <v>380</v>
      </c>
      <c r="E149" s="62"/>
      <c r="G149" s="63">
        <v>19.900000000000002</v>
      </c>
      <c r="L149" s="64"/>
    </row>
    <row r="150" spans="1:75" ht="13.5" customHeight="1">
      <c r="A150" s="30" t="s">
        <v>381</v>
      </c>
      <c r="B150" s="3" t="s">
        <v>85</v>
      </c>
      <c r="C150" s="3" t="s">
        <v>382</v>
      </c>
      <c r="D150" s="78" t="s">
        <v>383</v>
      </c>
      <c r="E150" s="78"/>
      <c r="F150" s="3" t="s">
        <v>209</v>
      </c>
      <c r="G150" s="31">
        <v>25.7</v>
      </c>
      <c r="H150" s="31">
        <v>0</v>
      </c>
      <c r="I150" s="31">
        <f>G150*H150</f>
        <v>0</v>
      </c>
      <c r="J150" s="31">
        <v>0.00159</v>
      </c>
      <c r="K150" s="31">
        <f>G150*J150</f>
        <v>0.040863000000000003</v>
      </c>
      <c r="L150" s="59" t="s">
        <v>125</v>
      </c>
      <c r="Z150" s="31">
        <f>IF(AQ150="5",BJ150,0)</f>
        <v>0</v>
      </c>
      <c r="AB150" s="31">
        <f>IF(AQ150="1",BH150,0)</f>
        <v>0</v>
      </c>
      <c r="AC150" s="31">
        <f>IF(AQ150="1",BI150,0)</f>
        <v>0</v>
      </c>
      <c r="AD150" s="31">
        <f>IF(AQ150="7",BH150,0)</f>
        <v>0</v>
      </c>
      <c r="AE150" s="31">
        <f>IF(AQ150="7",BI150,0)</f>
        <v>0</v>
      </c>
      <c r="AF150" s="31">
        <f>IF(AQ150="2",BH150,0)</f>
        <v>0</v>
      </c>
      <c r="AG150" s="31">
        <f>IF(AQ150="2",BI150,0)</f>
        <v>0</v>
      </c>
      <c r="AH150" s="31">
        <f>IF(AQ150="0",BJ150,0)</f>
        <v>0</v>
      </c>
      <c r="AI150" s="42" t="s">
        <v>85</v>
      </c>
      <c r="AJ150" s="31">
        <f>IF(AN150=0,I150,0)</f>
        <v>0</v>
      </c>
      <c r="AK150" s="31">
        <f>IF(AN150=12,I150,0)</f>
        <v>0</v>
      </c>
      <c r="AL150" s="31">
        <f>IF(AN150=21,I150,0)</f>
        <v>0</v>
      </c>
      <c r="AN150" s="31">
        <v>21</v>
      </c>
      <c r="AO150" s="31">
        <f>H150*0.840895027624309</f>
        <v>0</v>
      </c>
      <c r="AP150" s="31">
        <f>H150*(1-0.840895027624309)</f>
        <v>0</v>
      </c>
      <c r="AQ150" s="32" t="s">
        <v>154</v>
      </c>
      <c r="AV150" s="31">
        <f>AW150+AX150</f>
        <v>0</v>
      </c>
      <c r="AW150" s="31">
        <f>G150*AO150</f>
        <v>0</v>
      </c>
      <c r="AX150" s="31">
        <f>G150*AP150</f>
        <v>0</v>
      </c>
      <c r="AY150" s="32" t="s">
        <v>340</v>
      </c>
      <c r="AZ150" s="32" t="s">
        <v>211</v>
      </c>
      <c r="BA150" s="42" t="s">
        <v>128</v>
      </c>
      <c r="BC150" s="31">
        <f>AW150+AX150</f>
        <v>0</v>
      </c>
      <c r="BD150" s="31">
        <f>H150/(100-BE150)*100</f>
        <v>0</v>
      </c>
      <c r="BE150" s="31">
        <v>0</v>
      </c>
      <c r="BF150" s="31">
        <f>K150</f>
        <v>0.040863000000000003</v>
      </c>
      <c r="BH150" s="31">
        <f>G150*AO150</f>
        <v>0</v>
      </c>
      <c r="BI150" s="31">
        <f>G150*AP150</f>
        <v>0</v>
      </c>
      <c r="BJ150" s="31">
        <f>G150*H150</f>
        <v>0</v>
      </c>
      <c r="BK150" s="31"/>
      <c r="BL150" s="31">
        <v>764</v>
      </c>
      <c r="BW150" s="31">
        <v>21</v>
      </c>
    </row>
    <row r="151" spans="1:12" ht="15" customHeight="1">
      <c r="A151" s="60"/>
      <c r="D151" s="61" t="s">
        <v>384</v>
      </c>
      <c r="E151" s="62"/>
      <c r="G151" s="63">
        <v>25.700000000000003</v>
      </c>
      <c r="L151" s="64"/>
    </row>
    <row r="152" spans="1:75" ht="13.5" customHeight="1">
      <c r="A152" s="30" t="s">
        <v>385</v>
      </c>
      <c r="B152" s="3" t="s">
        <v>85</v>
      </c>
      <c r="C152" s="3" t="s">
        <v>386</v>
      </c>
      <c r="D152" s="78" t="s">
        <v>387</v>
      </c>
      <c r="E152" s="78"/>
      <c r="F152" s="3" t="s">
        <v>209</v>
      </c>
      <c r="G152" s="31">
        <v>151.9</v>
      </c>
      <c r="H152" s="31">
        <v>0</v>
      </c>
      <c r="I152" s="31">
        <f>G152*H152</f>
        <v>0</v>
      </c>
      <c r="J152" s="31">
        <v>0.00404</v>
      </c>
      <c r="K152" s="31">
        <f>G152*J152</f>
        <v>0.613676</v>
      </c>
      <c r="L152" s="59" t="s">
        <v>125</v>
      </c>
      <c r="Z152" s="31">
        <f>IF(AQ152="5",BJ152,0)</f>
        <v>0</v>
      </c>
      <c r="AB152" s="31">
        <f>IF(AQ152="1",BH152,0)</f>
        <v>0</v>
      </c>
      <c r="AC152" s="31">
        <f>IF(AQ152="1",BI152,0)</f>
        <v>0</v>
      </c>
      <c r="AD152" s="31">
        <f>IF(AQ152="7",BH152,0)</f>
        <v>0</v>
      </c>
      <c r="AE152" s="31">
        <f>IF(AQ152="7",BI152,0)</f>
        <v>0</v>
      </c>
      <c r="AF152" s="31">
        <f>IF(AQ152="2",BH152,0)</f>
        <v>0</v>
      </c>
      <c r="AG152" s="31">
        <f>IF(AQ152="2",BI152,0)</f>
        <v>0</v>
      </c>
      <c r="AH152" s="31">
        <f>IF(AQ152="0",BJ152,0)</f>
        <v>0</v>
      </c>
      <c r="AI152" s="42" t="s">
        <v>85</v>
      </c>
      <c r="AJ152" s="31">
        <f>IF(AN152=0,I152,0)</f>
        <v>0</v>
      </c>
      <c r="AK152" s="31">
        <f>IF(AN152=12,I152,0)</f>
        <v>0</v>
      </c>
      <c r="AL152" s="31">
        <f>IF(AN152=21,I152,0)</f>
        <v>0</v>
      </c>
      <c r="AN152" s="31">
        <v>21</v>
      </c>
      <c r="AO152" s="31">
        <f>H152*0.796944444444445</f>
        <v>0</v>
      </c>
      <c r="AP152" s="31">
        <f>H152*(1-0.796944444444445)</f>
        <v>0</v>
      </c>
      <c r="AQ152" s="32" t="s">
        <v>154</v>
      </c>
      <c r="AV152" s="31">
        <f>AW152+AX152</f>
        <v>0</v>
      </c>
      <c r="AW152" s="31">
        <f>G152*AO152</f>
        <v>0</v>
      </c>
      <c r="AX152" s="31">
        <f>G152*AP152</f>
        <v>0</v>
      </c>
      <c r="AY152" s="32" t="s">
        <v>340</v>
      </c>
      <c r="AZ152" s="32" t="s">
        <v>211</v>
      </c>
      <c r="BA152" s="42" t="s">
        <v>128</v>
      </c>
      <c r="BC152" s="31">
        <f>AW152+AX152</f>
        <v>0</v>
      </c>
      <c r="BD152" s="31">
        <f>H152/(100-BE152)*100</f>
        <v>0</v>
      </c>
      <c r="BE152" s="31">
        <v>0</v>
      </c>
      <c r="BF152" s="31">
        <f>K152</f>
        <v>0.613676</v>
      </c>
      <c r="BH152" s="31">
        <f>G152*AO152</f>
        <v>0</v>
      </c>
      <c r="BI152" s="31">
        <f>G152*AP152</f>
        <v>0</v>
      </c>
      <c r="BJ152" s="31">
        <f>G152*H152</f>
        <v>0</v>
      </c>
      <c r="BK152" s="31"/>
      <c r="BL152" s="31">
        <v>764</v>
      </c>
      <c r="BW152" s="31">
        <v>21</v>
      </c>
    </row>
    <row r="153" spans="1:12" ht="15" customHeight="1">
      <c r="A153" s="60"/>
      <c r="D153" s="61" t="s">
        <v>388</v>
      </c>
      <c r="E153" s="62"/>
      <c r="G153" s="63">
        <v>151.9</v>
      </c>
      <c r="L153" s="64"/>
    </row>
    <row r="154" spans="1:75" ht="13.5" customHeight="1">
      <c r="A154" s="30" t="s">
        <v>389</v>
      </c>
      <c r="B154" s="3" t="s">
        <v>85</v>
      </c>
      <c r="C154" s="3" t="s">
        <v>390</v>
      </c>
      <c r="D154" s="78" t="s">
        <v>391</v>
      </c>
      <c r="E154" s="78"/>
      <c r="F154" s="3" t="s">
        <v>349</v>
      </c>
      <c r="G154" s="31">
        <v>11</v>
      </c>
      <c r="H154" s="31">
        <v>0</v>
      </c>
      <c r="I154" s="31">
        <f>G154*H154</f>
        <v>0</v>
      </c>
      <c r="J154" s="31">
        <v>0.00329</v>
      </c>
      <c r="K154" s="31">
        <f>G154*J154</f>
        <v>0.03619</v>
      </c>
      <c r="L154" s="59" t="s">
        <v>125</v>
      </c>
      <c r="Z154" s="31">
        <f>IF(AQ154="5",BJ154,0)</f>
        <v>0</v>
      </c>
      <c r="AB154" s="31">
        <f>IF(AQ154="1",BH154,0)</f>
        <v>0</v>
      </c>
      <c r="AC154" s="31">
        <f>IF(AQ154="1",BI154,0)</f>
        <v>0</v>
      </c>
      <c r="AD154" s="31">
        <f>IF(AQ154="7",BH154,0)</f>
        <v>0</v>
      </c>
      <c r="AE154" s="31">
        <f>IF(AQ154="7",BI154,0)</f>
        <v>0</v>
      </c>
      <c r="AF154" s="31">
        <f>IF(AQ154="2",BH154,0)</f>
        <v>0</v>
      </c>
      <c r="AG154" s="31">
        <f>IF(AQ154="2",BI154,0)</f>
        <v>0</v>
      </c>
      <c r="AH154" s="31">
        <f>IF(AQ154="0",BJ154,0)</f>
        <v>0</v>
      </c>
      <c r="AI154" s="42" t="s">
        <v>85</v>
      </c>
      <c r="AJ154" s="31">
        <f>IF(AN154=0,I154,0)</f>
        <v>0</v>
      </c>
      <c r="AK154" s="31">
        <f>IF(AN154=12,I154,0)</f>
        <v>0</v>
      </c>
      <c r="AL154" s="31">
        <f>IF(AN154=21,I154,0)</f>
        <v>0</v>
      </c>
      <c r="AN154" s="31">
        <v>21</v>
      </c>
      <c r="AO154" s="31">
        <f>H154*0.612972010195252</f>
        <v>0</v>
      </c>
      <c r="AP154" s="31">
        <f>H154*(1-0.612972010195252)</f>
        <v>0</v>
      </c>
      <c r="AQ154" s="32" t="s">
        <v>154</v>
      </c>
      <c r="AV154" s="31">
        <f>AW154+AX154</f>
        <v>0</v>
      </c>
      <c r="AW154" s="31">
        <f>G154*AO154</f>
        <v>0</v>
      </c>
      <c r="AX154" s="31">
        <f>G154*AP154</f>
        <v>0</v>
      </c>
      <c r="AY154" s="32" t="s">
        <v>340</v>
      </c>
      <c r="AZ154" s="32" t="s">
        <v>211</v>
      </c>
      <c r="BA154" s="42" t="s">
        <v>128</v>
      </c>
      <c r="BC154" s="31">
        <f>AW154+AX154</f>
        <v>0</v>
      </c>
      <c r="BD154" s="31">
        <f>H154/(100-BE154)*100</f>
        <v>0</v>
      </c>
      <c r="BE154" s="31">
        <v>0</v>
      </c>
      <c r="BF154" s="31">
        <f>K154</f>
        <v>0.03619</v>
      </c>
      <c r="BH154" s="31">
        <f>G154*AO154</f>
        <v>0</v>
      </c>
      <c r="BI154" s="31">
        <f>G154*AP154</f>
        <v>0</v>
      </c>
      <c r="BJ154" s="31">
        <f>G154*H154</f>
        <v>0</v>
      </c>
      <c r="BK154" s="31"/>
      <c r="BL154" s="31">
        <v>764</v>
      </c>
      <c r="BW154" s="31">
        <v>21</v>
      </c>
    </row>
    <row r="155" spans="1:12" ht="15" customHeight="1">
      <c r="A155" s="60"/>
      <c r="D155" s="61" t="s">
        <v>392</v>
      </c>
      <c r="E155" s="62"/>
      <c r="G155" s="63">
        <v>11.000000000000002</v>
      </c>
      <c r="L155" s="64"/>
    </row>
    <row r="156" spans="1:75" ht="13.5" customHeight="1">
      <c r="A156" s="30" t="s">
        <v>393</v>
      </c>
      <c r="B156" s="3" t="s">
        <v>85</v>
      </c>
      <c r="C156" s="3" t="s">
        <v>394</v>
      </c>
      <c r="D156" s="78" t="s">
        <v>395</v>
      </c>
      <c r="E156" s="78"/>
      <c r="F156" s="3" t="s">
        <v>209</v>
      </c>
      <c r="G156" s="31">
        <v>41</v>
      </c>
      <c r="H156" s="31">
        <v>0</v>
      </c>
      <c r="I156" s="31">
        <f>G156*H156</f>
        <v>0</v>
      </c>
      <c r="J156" s="31">
        <v>0.00464</v>
      </c>
      <c r="K156" s="31">
        <f>G156*J156</f>
        <v>0.19024</v>
      </c>
      <c r="L156" s="59" t="s">
        <v>125</v>
      </c>
      <c r="Z156" s="31">
        <f>IF(AQ156="5",BJ156,0)</f>
        <v>0</v>
      </c>
      <c r="AB156" s="31">
        <f>IF(AQ156="1",BH156,0)</f>
        <v>0</v>
      </c>
      <c r="AC156" s="31">
        <f>IF(AQ156="1",BI156,0)</f>
        <v>0</v>
      </c>
      <c r="AD156" s="31">
        <f>IF(AQ156="7",BH156,0)</f>
        <v>0</v>
      </c>
      <c r="AE156" s="31">
        <f>IF(AQ156="7",BI156,0)</f>
        <v>0</v>
      </c>
      <c r="AF156" s="31">
        <f>IF(AQ156="2",BH156,0)</f>
        <v>0</v>
      </c>
      <c r="AG156" s="31">
        <f>IF(AQ156="2",BI156,0)</f>
        <v>0</v>
      </c>
      <c r="AH156" s="31">
        <f>IF(AQ156="0",BJ156,0)</f>
        <v>0</v>
      </c>
      <c r="AI156" s="42" t="s">
        <v>85</v>
      </c>
      <c r="AJ156" s="31">
        <f>IF(AN156=0,I156,0)</f>
        <v>0</v>
      </c>
      <c r="AK156" s="31">
        <f>IF(AN156=12,I156,0)</f>
        <v>0</v>
      </c>
      <c r="AL156" s="31">
        <f>IF(AN156=21,I156,0)</f>
        <v>0</v>
      </c>
      <c r="AN156" s="31">
        <v>21</v>
      </c>
      <c r="AO156" s="31">
        <f>H156*0.9002125</f>
        <v>0</v>
      </c>
      <c r="AP156" s="31">
        <f>H156*(1-0.9002125)</f>
        <v>0</v>
      </c>
      <c r="AQ156" s="32" t="s">
        <v>154</v>
      </c>
      <c r="AV156" s="31">
        <f>AW156+AX156</f>
        <v>0</v>
      </c>
      <c r="AW156" s="31">
        <f>G156*AO156</f>
        <v>0</v>
      </c>
      <c r="AX156" s="31">
        <f>G156*AP156</f>
        <v>0</v>
      </c>
      <c r="AY156" s="32" t="s">
        <v>340</v>
      </c>
      <c r="AZ156" s="32" t="s">
        <v>211</v>
      </c>
      <c r="BA156" s="42" t="s">
        <v>128</v>
      </c>
      <c r="BC156" s="31">
        <f>AW156+AX156</f>
        <v>0</v>
      </c>
      <c r="BD156" s="31">
        <f>H156/(100-BE156)*100</f>
        <v>0</v>
      </c>
      <c r="BE156" s="31">
        <v>0</v>
      </c>
      <c r="BF156" s="31">
        <f>K156</f>
        <v>0.19024</v>
      </c>
      <c r="BH156" s="31">
        <f>G156*AO156</f>
        <v>0</v>
      </c>
      <c r="BI156" s="31">
        <f>G156*AP156</f>
        <v>0</v>
      </c>
      <c r="BJ156" s="31">
        <f>G156*H156</f>
        <v>0</v>
      </c>
      <c r="BK156" s="31"/>
      <c r="BL156" s="31">
        <v>764</v>
      </c>
      <c r="BW156" s="31">
        <v>21</v>
      </c>
    </row>
    <row r="157" spans="1:12" ht="15" customHeight="1">
      <c r="A157" s="60"/>
      <c r="D157" s="61" t="s">
        <v>396</v>
      </c>
      <c r="E157" s="62"/>
      <c r="G157" s="63">
        <v>41</v>
      </c>
      <c r="L157" s="64"/>
    </row>
    <row r="158" spans="1:75" ht="13.5" customHeight="1">
      <c r="A158" s="30" t="s">
        <v>397</v>
      </c>
      <c r="B158" s="3" t="s">
        <v>85</v>
      </c>
      <c r="C158" s="3" t="s">
        <v>398</v>
      </c>
      <c r="D158" s="78" t="s">
        <v>399</v>
      </c>
      <c r="E158" s="78"/>
      <c r="F158" s="3" t="s">
        <v>209</v>
      </c>
      <c r="G158" s="31">
        <v>40</v>
      </c>
      <c r="H158" s="31">
        <v>0</v>
      </c>
      <c r="I158" s="31">
        <f>G158*H158</f>
        <v>0</v>
      </c>
      <c r="J158" s="31">
        <v>0.00346</v>
      </c>
      <c r="K158" s="31">
        <f>G158*J158</f>
        <v>0.1384</v>
      </c>
      <c r="L158" s="59" t="s">
        <v>125</v>
      </c>
      <c r="Z158" s="31">
        <f>IF(AQ158="5",BJ158,0)</f>
        <v>0</v>
      </c>
      <c r="AB158" s="31">
        <f>IF(AQ158="1",BH158,0)</f>
        <v>0</v>
      </c>
      <c r="AC158" s="31">
        <f>IF(AQ158="1",BI158,0)</f>
        <v>0</v>
      </c>
      <c r="AD158" s="31">
        <f>IF(AQ158="7",BH158,0)</f>
        <v>0</v>
      </c>
      <c r="AE158" s="31">
        <f>IF(AQ158="7",BI158,0)</f>
        <v>0</v>
      </c>
      <c r="AF158" s="31">
        <f>IF(AQ158="2",BH158,0)</f>
        <v>0</v>
      </c>
      <c r="AG158" s="31">
        <f>IF(AQ158="2",BI158,0)</f>
        <v>0</v>
      </c>
      <c r="AH158" s="31">
        <f>IF(AQ158="0",BJ158,0)</f>
        <v>0</v>
      </c>
      <c r="AI158" s="42" t="s">
        <v>85</v>
      </c>
      <c r="AJ158" s="31">
        <f>IF(AN158=0,I158,0)</f>
        <v>0</v>
      </c>
      <c r="AK158" s="31">
        <f>IF(AN158=12,I158,0)</f>
        <v>0</v>
      </c>
      <c r="AL158" s="31">
        <f>IF(AN158=21,I158,0)</f>
        <v>0</v>
      </c>
      <c r="AN158" s="31">
        <v>21</v>
      </c>
      <c r="AO158" s="31">
        <f>H158*0.805683341928829</f>
        <v>0</v>
      </c>
      <c r="AP158" s="31">
        <f>H158*(1-0.805683341928829)</f>
        <v>0</v>
      </c>
      <c r="AQ158" s="32" t="s">
        <v>154</v>
      </c>
      <c r="AV158" s="31">
        <f>AW158+AX158</f>
        <v>0</v>
      </c>
      <c r="AW158" s="31">
        <f>G158*AO158</f>
        <v>0</v>
      </c>
      <c r="AX158" s="31">
        <f>G158*AP158</f>
        <v>0</v>
      </c>
      <c r="AY158" s="32" t="s">
        <v>340</v>
      </c>
      <c r="AZ158" s="32" t="s">
        <v>211</v>
      </c>
      <c r="BA158" s="42" t="s">
        <v>128</v>
      </c>
      <c r="BC158" s="31">
        <f>AW158+AX158</f>
        <v>0</v>
      </c>
      <c r="BD158" s="31">
        <f>H158/(100-BE158)*100</f>
        <v>0</v>
      </c>
      <c r="BE158" s="31">
        <v>0</v>
      </c>
      <c r="BF158" s="31">
        <f>K158</f>
        <v>0.1384</v>
      </c>
      <c r="BH158" s="31">
        <f>G158*AO158</f>
        <v>0</v>
      </c>
      <c r="BI158" s="31">
        <f>G158*AP158</f>
        <v>0</v>
      </c>
      <c r="BJ158" s="31">
        <f>G158*H158</f>
        <v>0</v>
      </c>
      <c r="BK158" s="31"/>
      <c r="BL158" s="31">
        <v>764</v>
      </c>
      <c r="BW158" s="31">
        <v>21</v>
      </c>
    </row>
    <row r="159" spans="1:12" ht="15" customHeight="1">
      <c r="A159" s="60"/>
      <c r="D159" s="61" t="s">
        <v>400</v>
      </c>
      <c r="E159" s="62"/>
      <c r="G159" s="63">
        <v>40</v>
      </c>
      <c r="L159" s="64"/>
    </row>
    <row r="160" spans="1:75" ht="13.5" customHeight="1">
      <c r="A160" s="30" t="s">
        <v>401</v>
      </c>
      <c r="B160" s="3" t="s">
        <v>85</v>
      </c>
      <c r="C160" s="3" t="s">
        <v>402</v>
      </c>
      <c r="D160" s="78" t="s">
        <v>403</v>
      </c>
      <c r="E160" s="78"/>
      <c r="F160" s="3" t="s">
        <v>124</v>
      </c>
      <c r="G160" s="31">
        <v>2.64</v>
      </c>
      <c r="H160" s="31">
        <v>0</v>
      </c>
      <c r="I160" s="31">
        <f>G160*H160</f>
        <v>0</v>
      </c>
      <c r="J160" s="31">
        <v>0.00811</v>
      </c>
      <c r="K160" s="31">
        <f>G160*J160</f>
        <v>0.0214104</v>
      </c>
      <c r="L160" s="59" t="s">
        <v>125</v>
      </c>
      <c r="Z160" s="31">
        <f>IF(AQ160="5",BJ160,0)</f>
        <v>0</v>
      </c>
      <c r="AB160" s="31">
        <f>IF(AQ160="1",BH160,0)</f>
        <v>0</v>
      </c>
      <c r="AC160" s="31">
        <f>IF(AQ160="1",BI160,0)</f>
        <v>0</v>
      </c>
      <c r="AD160" s="31">
        <f>IF(AQ160="7",BH160,0)</f>
        <v>0</v>
      </c>
      <c r="AE160" s="31">
        <f>IF(AQ160="7",BI160,0)</f>
        <v>0</v>
      </c>
      <c r="AF160" s="31">
        <f>IF(AQ160="2",BH160,0)</f>
        <v>0</v>
      </c>
      <c r="AG160" s="31">
        <f>IF(AQ160="2",BI160,0)</f>
        <v>0</v>
      </c>
      <c r="AH160" s="31">
        <f>IF(AQ160="0",BJ160,0)</f>
        <v>0</v>
      </c>
      <c r="AI160" s="42" t="s">
        <v>85</v>
      </c>
      <c r="AJ160" s="31">
        <f>IF(AN160=0,I160,0)</f>
        <v>0</v>
      </c>
      <c r="AK160" s="31">
        <f>IF(AN160=12,I160,0)</f>
        <v>0</v>
      </c>
      <c r="AL160" s="31">
        <f>IF(AN160=21,I160,0)</f>
        <v>0</v>
      </c>
      <c r="AN160" s="31">
        <v>21</v>
      </c>
      <c r="AO160" s="31">
        <f>H160*0.690791922739245</f>
        <v>0</v>
      </c>
      <c r="AP160" s="31">
        <f>H160*(1-0.690791922739245)</f>
        <v>0</v>
      </c>
      <c r="AQ160" s="32" t="s">
        <v>154</v>
      </c>
      <c r="AV160" s="31">
        <f>AW160+AX160</f>
        <v>0</v>
      </c>
      <c r="AW160" s="31">
        <f>G160*AO160</f>
        <v>0</v>
      </c>
      <c r="AX160" s="31">
        <f>G160*AP160</f>
        <v>0</v>
      </c>
      <c r="AY160" s="32" t="s">
        <v>340</v>
      </c>
      <c r="AZ160" s="32" t="s">
        <v>211</v>
      </c>
      <c r="BA160" s="42" t="s">
        <v>128</v>
      </c>
      <c r="BC160" s="31">
        <f>AW160+AX160</f>
        <v>0</v>
      </c>
      <c r="BD160" s="31">
        <f>H160/(100-BE160)*100</f>
        <v>0</v>
      </c>
      <c r="BE160" s="31">
        <v>0</v>
      </c>
      <c r="BF160" s="31">
        <f>K160</f>
        <v>0.0214104</v>
      </c>
      <c r="BH160" s="31">
        <f>G160*AO160</f>
        <v>0</v>
      </c>
      <c r="BI160" s="31">
        <f>G160*AP160</f>
        <v>0</v>
      </c>
      <c r="BJ160" s="31">
        <f>G160*H160</f>
        <v>0</v>
      </c>
      <c r="BK160" s="31"/>
      <c r="BL160" s="31">
        <v>764</v>
      </c>
      <c r="BW160" s="31">
        <v>21</v>
      </c>
    </row>
    <row r="161" spans="1:12" ht="15" customHeight="1">
      <c r="A161" s="60"/>
      <c r="D161" s="61" t="s">
        <v>404</v>
      </c>
      <c r="E161" s="62"/>
      <c r="G161" s="63">
        <v>2.64</v>
      </c>
      <c r="L161" s="64"/>
    </row>
    <row r="162" spans="1:75" ht="13.5" customHeight="1">
      <c r="A162" s="30" t="s">
        <v>405</v>
      </c>
      <c r="B162" s="3" t="s">
        <v>85</v>
      </c>
      <c r="C162" s="3" t="s">
        <v>406</v>
      </c>
      <c r="D162" s="78" t="s">
        <v>407</v>
      </c>
      <c r="E162" s="78"/>
      <c r="F162" s="3" t="s">
        <v>209</v>
      </c>
      <c r="G162" s="31">
        <v>12.2</v>
      </c>
      <c r="H162" s="31">
        <v>0</v>
      </c>
      <c r="I162" s="31">
        <f>G162*H162</f>
        <v>0</v>
      </c>
      <c r="J162" s="31">
        <v>0.00326</v>
      </c>
      <c r="K162" s="31">
        <f>G162*J162</f>
        <v>0.039771999999999995</v>
      </c>
      <c r="L162" s="59" t="s">
        <v>125</v>
      </c>
      <c r="Z162" s="31">
        <f>IF(AQ162="5",BJ162,0)</f>
        <v>0</v>
      </c>
      <c r="AB162" s="31">
        <f>IF(AQ162="1",BH162,0)</f>
        <v>0</v>
      </c>
      <c r="AC162" s="31">
        <f>IF(AQ162="1",BI162,0)</f>
        <v>0</v>
      </c>
      <c r="AD162" s="31">
        <f>IF(AQ162="7",BH162,0)</f>
        <v>0</v>
      </c>
      <c r="AE162" s="31">
        <f>IF(AQ162="7",BI162,0)</f>
        <v>0</v>
      </c>
      <c r="AF162" s="31">
        <f>IF(AQ162="2",BH162,0)</f>
        <v>0</v>
      </c>
      <c r="AG162" s="31">
        <f>IF(AQ162="2",BI162,0)</f>
        <v>0</v>
      </c>
      <c r="AH162" s="31">
        <f>IF(AQ162="0",BJ162,0)</f>
        <v>0</v>
      </c>
      <c r="AI162" s="42" t="s">
        <v>85</v>
      </c>
      <c r="AJ162" s="31">
        <f>IF(AN162=0,I162,0)</f>
        <v>0</v>
      </c>
      <c r="AK162" s="31">
        <f>IF(AN162=12,I162,0)</f>
        <v>0</v>
      </c>
      <c r="AL162" s="31">
        <f>IF(AN162=21,I162,0)</f>
        <v>0</v>
      </c>
      <c r="AN162" s="31">
        <v>21</v>
      </c>
      <c r="AO162" s="31">
        <f>H162*0.890051020408163</f>
        <v>0</v>
      </c>
      <c r="AP162" s="31">
        <f>H162*(1-0.890051020408163)</f>
        <v>0</v>
      </c>
      <c r="AQ162" s="32" t="s">
        <v>154</v>
      </c>
      <c r="AV162" s="31">
        <f>AW162+AX162</f>
        <v>0</v>
      </c>
      <c r="AW162" s="31">
        <f>G162*AO162</f>
        <v>0</v>
      </c>
      <c r="AX162" s="31">
        <f>G162*AP162</f>
        <v>0</v>
      </c>
      <c r="AY162" s="32" t="s">
        <v>340</v>
      </c>
      <c r="AZ162" s="32" t="s">
        <v>211</v>
      </c>
      <c r="BA162" s="42" t="s">
        <v>128</v>
      </c>
      <c r="BC162" s="31">
        <f>AW162+AX162</f>
        <v>0</v>
      </c>
      <c r="BD162" s="31">
        <f>H162/(100-BE162)*100</f>
        <v>0</v>
      </c>
      <c r="BE162" s="31">
        <v>0</v>
      </c>
      <c r="BF162" s="31">
        <f>K162</f>
        <v>0.039771999999999995</v>
      </c>
      <c r="BH162" s="31">
        <f>G162*AO162</f>
        <v>0</v>
      </c>
      <c r="BI162" s="31">
        <f>G162*AP162</f>
        <v>0</v>
      </c>
      <c r="BJ162" s="31">
        <f>G162*H162</f>
        <v>0</v>
      </c>
      <c r="BK162" s="31"/>
      <c r="BL162" s="31">
        <v>764</v>
      </c>
      <c r="BW162" s="31">
        <v>21</v>
      </c>
    </row>
    <row r="163" spans="1:12" ht="15" customHeight="1">
      <c r="A163" s="60"/>
      <c r="D163" s="61" t="s">
        <v>409</v>
      </c>
      <c r="E163" s="62"/>
      <c r="G163" s="63">
        <v>12.2</v>
      </c>
      <c r="L163" s="64"/>
    </row>
    <row r="164" spans="1:75" ht="13.5" customHeight="1">
      <c r="A164" s="30" t="s">
        <v>410</v>
      </c>
      <c r="B164" s="3" t="s">
        <v>85</v>
      </c>
      <c r="C164" s="3" t="s">
        <v>411</v>
      </c>
      <c r="D164" s="78" t="s">
        <v>412</v>
      </c>
      <c r="E164" s="78"/>
      <c r="F164" s="3" t="s">
        <v>209</v>
      </c>
      <c r="G164" s="31">
        <v>10</v>
      </c>
      <c r="H164" s="31">
        <v>0</v>
      </c>
      <c r="I164" s="31">
        <f>G164*H164</f>
        <v>0</v>
      </c>
      <c r="J164" s="31">
        <v>0.00354</v>
      </c>
      <c r="K164" s="31">
        <f>G164*J164</f>
        <v>0.0354</v>
      </c>
      <c r="L164" s="59" t="s">
        <v>125</v>
      </c>
      <c r="Z164" s="31">
        <f>IF(AQ164="5",BJ164,0)</f>
        <v>0</v>
      </c>
      <c r="AB164" s="31">
        <f>IF(AQ164="1",BH164,0)</f>
        <v>0</v>
      </c>
      <c r="AC164" s="31">
        <f>IF(AQ164="1",BI164,0)</f>
        <v>0</v>
      </c>
      <c r="AD164" s="31">
        <f>IF(AQ164="7",BH164,0)</f>
        <v>0</v>
      </c>
      <c r="AE164" s="31">
        <f>IF(AQ164="7",BI164,0)</f>
        <v>0</v>
      </c>
      <c r="AF164" s="31">
        <f>IF(AQ164="2",BH164,0)</f>
        <v>0</v>
      </c>
      <c r="AG164" s="31">
        <f>IF(AQ164="2",BI164,0)</f>
        <v>0</v>
      </c>
      <c r="AH164" s="31">
        <f>IF(AQ164="0",BJ164,0)</f>
        <v>0</v>
      </c>
      <c r="AI164" s="42" t="s">
        <v>85</v>
      </c>
      <c r="AJ164" s="31">
        <f>IF(AN164=0,I164,0)</f>
        <v>0</v>
      </c>
      <c r="AK164" s="31">
        <f>IF(AN164=12,I164,0)</f>
        <v>0</v>
      </c>
      <c r="AL164" s="31">
        <f>IF(AN164=21,I164,0)</f>
        <v>0</v>
      </c>
      <c r="AN164" s="31">
        <v>21</v>
      </c>
      <c r="AO164" s="31">
        <f>H164*0.85161239807161</f>
        <v>0</v>
      </c>
      <c r="AP164" s="31">
        <f>H164*(1-0.85161239807161)</f>
        <v>0</v>
      </c>
      <c r="AQ164" s="32" t="s">
        <v>154</v>
      </c>
      <c r="AV164" s="31">
        <f>AW164+AX164</f>
        <v>0</v>
      </c>
      <c r="AW164" s="31">
        <f>G164*AO164</f>
        <v>0</v>
      </c>
      <c r="AX164" s="31">
        <f>G164*AP164</f>
        <v>0</v>
      </c>
      <c r="AY164" s="32" t="s">
        <v>340</v>
      </c>
      <c r="AZ164" s="32" t="s">
        <v>211</v>
      </c>
      <c r="BA164" s="42" t="s">
        <v>128</v>
      </c>
      <c r="BC164" s="31">
        <f>AW164+AX164</f>
        <v>0</v>
      </c>
      <c r="BD164" s="31">
        <f>H164/(100-BE164)*100</f>
        <v>0</v>
      </c>
      <c r="BE164" s="31">
        <v>0</v>
      </c>
      <c r="BF164" s="31">
        <f>K164</f>
        <v>0.0354</v>
      </c>
      <c r="BH164" s="31">
        <f>G164*AO164</f>
        <v>0</v>
      </c>
      <c r="BI164" s="31">
        <f>G164*AP164</f>
        <v>0</v>
      </c>
      <c r="BJ164" s="31">
        <f>G164*H164</f>
        <v>0</v>
      </c>
      <c r="BK164" s="31"/>
      <c r="BL164" s="31">
        <v>764</v>
      </c>
      <c r="BW164" s="31">
        <v>21</v>
      </c>
    </row>
    <row r="165" spans="1:12" ht="15" customHeight="1">
      <c r="A165" s="60"/>
      <c r="D165" s="61" t="s">
        <v>413</v>
      </c>
      <c r="E165" s="62"/>
      <c r="G165" s="63">
        <v>10</v>
      </c>
      <c r="L165" s="64"/>
    </row>
    <row r="166" spans="1:75" ht="13.5" customHeight="1">
      <c r="A166" s="30" t="s">
        <v>414</v>
      </c>
      <c r="B166" s="3" t="s">
        <v>85</v>
      </c>
      <c r="C166" s="3" t="s">
        <v>415</v>
      </c>
      <c r="D166" s="78" t="s">
        <v>416</v>
      </c>
      <c r="E166" s="78"/>
      <c r="F166" s="3" t="s">
        <v>124</v>
      </c>
      <c r="G166" s="31">
        <v>2.4</v>
      </c>
      <c r="H166" s="31">
        <v>0</v>
      </c>
      <c r="I166" s="31">
        <f>G166*H166</f>
        <v>0</v>
      </c>
      <c r="J166" s="31">
        <v>0.00585</v>
      </c>
      <c r="K166" s="31">
        <f>G166*J166</f>
        <v>0.01404</v>
      </c>
      <c r="L166" s="59" t="s">
        <v>125</v>
      </c>
      <c r="Z166" s="31">
        <f>IF(AQ166="5",BJ166,0)</f>
        <v>0</v>
      </c>
      <c r="AB166" s="31">
        <f>IF(AQ166="1",BH166,0)</f>
        <v>0</v>
      </c>
      <c r="AC166" s="31">
        <f>IF(AQ166="1",BI166,0)</f>
        <v>0</v>
      </c>
      <c r="AD166" s="31">
        <f>IF(AQ166="7",BH166,0)</f>
        <v>0</v>
      </c>
      <c r="AE166" s="31">
        <f>IF(AQ166="7",BI166,0)</f>
        <v>0</v>
      </c>
      <c r="AF166" s="31">
        <f>IF(AQ166="2",BH166,0)</f>
        <v>0</v>
      </c>
      <c r="AG166" s="31">
        <f>IF(AQ166="2",BI166,0)</f>
        <v>0</v>
      </c>
      <c r="AH166" s="31">
        <f>IF(AQ166="0",BJ166,0)</f>
        <v>0</v>
      </c>
      <c r="AI166" s="42" t="s">
        <v>85</v>
      </c>
      <c r="AJ166" s="31">
        <f>IF(AN166=0,I166,0)</f>
        <v>0</v>
      </c>
      <c r="AK166" s="31">
        <f>IF(AN166=12,I166,0)</f>
        <v>0</v>
      </c>
      <c r="AL166" s="31">
        <f>IF(AN166=21,I166,0)</f>
        <v>0</v>
      </c>
      <c r="AN166" s="31">
        <v>21</v>
      </c>
      <c r="AO166" s="31">
        <f>H166*0.753250327653997</f>
        <v>0</v>
      </c>
      <c r="AP166" s="31">
        <f>H166*(1-0.753250327653997)</f>
        <v>0</v>
      </c>
      <c r="AQ166" s="32" t="s">
        <v>154</v>
      </c>
      <c r="AV166" s="31">
        <f>AW166+AX166</f>
        <v>0</v>
      </c>
      <c r="AW166" s="31">
        <f>G166*AO166</f>
        <v>0</v>
      </c>
      <c r="AX166" s="31">
        <f>G166*AP166</f>
        <v>0</v>
      </c>
      <c r="AY166" s="32" t="s">
        <v>340</v>
      </c>
      <c r="AZ166" s="32" t="s">
        <v>211</v>
      </c>
      <c r="BA166" s="42" t="s">
        <v>128</v>
      </c>
      <c r="BC166" s="31">
        <f>AW166+AX166</f>
        <v>0</v>
      </c>
      <c r="BD166" s="31">
        <f>H166/(100-BE166)*100</f>
        <v>0</v>
      </c>
      <c r="BE166" s="31">
        <v>0</v>
      </c>
      <c r="BF166" s="31">
        <f>K166</f>
        <v>0.01404</v>
      </c>
      <c r="BH166" s="31">
        <f>G166*AO166</f>
        <v>0</v>
      </c>
      <c r="BI166" s="31">
        <f>G166*AP166</f>
        <v>0</v>
      </c>
      <c r="BJ166" s="31">
        <f>G166*H166</f>
        <v>0</v>
      </c>
      <c r="BK166" s="31"/>
      <c r="BL166" s="31">
        <v>764</v>
      </c>
      <c r="BW166" s="31">
        <v>21</v>
      </c>
    </row>
    <row r="167" spans="1:12" ht="15" customHeight="1">
      <c r="A167" s="60"/>
      <c r="D167" s="61" t="s">
        <v>417</v>
      </c>
      <c r="E167" s="62"/>
      <c r="G167" s="63">
        <v>2.4000000000000004</v>
      </c>
      <c r="L167" s="64"/>
    </row>
    <row r="168" spans="1:75" ht="13.5" customHeight="1">
      <c r="A168" s="30" t="s">
        <v>119</v>
      </c>
      <c r="B168" s="3" t="s">
        <v>85</v>
      </c>
      <c r="C168" s="3" t="s">
        <v>418</v>
      </c>
      <c r="D168" s="78" t="s">
        <v>419</v>
      </c>
      <c r="E168" s="78"/>
      <c r="F168" s="3" t="s">
        <v>209</v>
      </c>
      <c r="G168" s="31">
        <v>2.4</v>
      </c>
      <c r="H168" s="31">
        <v>0</v>
      </c>
      <c r="I168" s="31">
        <f>G168*H168</f>
        <v>0</v>
      </c>
      <c r="J168" s="31">
        <v>0.00689</v>
      </c>
      <c r="K168" s="31">
        <f>G168*J168</f>
        <v>0.016536</v>
      </c>
      <c r="L168" s="59" t="s">
        <v>125</v>
      </c>
      <c r="Z168" s="31">
        <f>IF(AQ168="5",BJ168,0)</f>
        <v>0</v>
      </c>
      <c r="AB168" s="31">
        <f>IF(AQ168="1",BH168,0)</f>
        <v>0</v>
      </c>
      <c r="AC168" s="31">
        <f>IF(AQ168="1",BI168,0)</f>
        <v>0</v>
      </c>
      <c r="AD168" s="31">
        <f>IF(AQ168="7",BH168,0)</f>
        <v>0</v>
      </c>
      <c r="AE168" s="31">
        <f>IF(AQ168="7",BI168,0)</f>
        <v>0</v>
      </c>
      <c r="AF168" s="31">
        <f>IF(AQ168="2",BH168,0)</f>
        <v>0</v>
      </c>
      <c r="AG168" s="31">
        <f>IF(AQ168="2",BI168,0)</f>
        <v>0</v>
      </c>
      <c r="AH168" s="31">
        <f>IF(AQ168="0",BJ168,0)</f>
        <v>0</v>
      </c>
      <c r="AI168" s="42" t="s">
        <v>85</v>
      </c>
      <c r="AJ168" s="31">
        <f>IF(AN168=0,I168,0)</f>
        <v>0</v>
      </c>
      <c r="AK168" s="31">
        <f>IF(AN168=12,I168,0)</f>
        <v>0</v>
      </c>
      <c r="AL168" s="31">
        <f>IF(AN168=21,I168,0)</f>
        <v>0</v>
      </c>
      <c r="AN168" s="31">
        <v>21</v>
      </c>
      <c r="AO168" s="31">
        <f>H168*0.800421393841167</f>
        <v>0</v>
      </c>
      <c r="AP168" s="31">
        <f>H168*(1-0.800421393841167)</f>
        <v>0</v>
      </c>
      <c r="AQ168" s="32" t="s">
        <v>154</v>
      </c>
      <c r="AV168" s="31">
        <f>AW168+AX168</f>
        <v>0</v>
      </c>
      <c r="AW168" s="31">
        <f>G168*AO168</f>
        <v>0</v>
      </c>
      <c r="AX168" s="31">
        <f>G168*AP168</f>
        <v>0</v>
      </c>
      <c r="AY168" s="32" t="s">
        <v>340</v>
      </c>
      <c r="AZ168" s="32" t="s">
        <v>211</v>
      </c>
      <c r="BA168" s="42" t="s">
        <v>128</v>
      </c>
      <c r="BC168" s="31">
        <f>AW168+AX168</f>
        <v>0</v>
      </c>
      <c r="BD168" s="31">
        <f>H168/(100-BE168)*100</f>
        <v>0</v>
      </c>
      <c r="BE168" s="31">
        <v>0</v>
      </c>
      <c r="BF168" s="31">
        <f>K168</f>
        <v>0.016536</v>
      </c>
      <c r="BH168" s="31">
        <f>G168*AO168</f>
        <v>0</v>
      </c>
      <c r="BI168" s="31">
        <f>G168*AP168</f>
        <v>0</v>
      </c>
      <c r="BJ168" s="31">
        <f>G168*H168</f>
        <v>0</v>
      </c>
      <c r="BK168" s="31"/>
      <c r="BL168" s="31">
        <v>764</v>
      </c>
      <c r="BW168" s="31">
        <v>21</v>
      </c>
    </row>
    <row r="169" spans="1:12" ht="15" customHeight="1">
      <c r="A169" s="60"/>
      <c r="D169" s="61" t="s">
        <v>421</v>
      </c>
      <c r="E169" s="62"/>
      <c r="G169" s="63">
        <v>2.4000000000000004</v>
      </c>
      <c r="L169" s="64"/>
    </row>
    <row r="170" spans="1:75" ht="13.5" customHeight="1">
      <c r="A170" s="30" t="s">
        <v>422</v>
      </c>
      <c r="B170" s="3" t="s">
        <v>85</v>
      </c>
      <c r="C170" s="3" t="s">
        <v>423</v>
      </c>
      <c r="D170" s="78" t="s">
        <v>424</v>
      </c>
      <c r="E170" s="78"/>
      <c r="F170" s="3" t="s">
        <v>61</v>
      </c>
      <c r="G170" s="31">
        <v>7200</v>
      </c>
      <c r="H170" s="31">
        <v>0</v>
      </c>
      <c r="I170" s="31">
        <f>G170*H170</f>
        <v>0</v>
      </c>
      <c r="J170" s="31">
        <v>0</v>
      </c>
      <c r="K170" s="31">
        <f>G170*J170</f>
        <v>0</v>
      </c>
      <c r="L170" s="59" t="s">
        <v>125</v>
      </c>
      <c r="Z170" s="31">
        <f>IF(AQ170="5",BJ170,0)</f>
        <v>0</v>
      </c>
      <c r="AB170" s="31">
        <f>IF(AQ170="1",BH170,0)</f>
        <v>0</v>
      </c>
      <c r="AC170" s="31">
        <f>IF(AQ170="1",BI170,0)</f>
        <v>0</v>
      </c>
      <c r="AD170" s="31">
        <f>IF(AQ170="7",BH170,0)</f>
        <v>0</v>
      </c>
      <c r="AE170" s="31">
        <f>IF(AQ170="7",BI170,0)</f>
        <v>0</v>
      </c>
      <c r="AF170" s="31">
        <f>IF(AQ170="2",BH170,0)</f>
        <v>0</v>
      </c>
      <c r="AG170" s="31">
        <f>IF(AQ170="2",BI170,0)</f>
        <v>0</v>
      </c>
      <c r="AH170" s="31">
        <f>IF(AQ170="0",BJ170,0)</f>
        <v>0</v>
      </c>
      <c r="AI170" s="42" t="s">
        <v>85</v>
      </c>
      <c r="AJ170" s="31">
        <f>IF(AN170=0,I170,0)</f>
        <v>0</v>
      </c>
      <c r="AK170" s="31">
        <f>IF(AN170=12,I170,0)</f>
        <v>0</v>
      </c>
      <c r="AL170" s="31">
        <f>IF(AN170=21,I170,0)</f>
        <v>0</v>
      </c>
      <c r="AN170" s="31">
        <v>21</v>
      </c>
      <c r="AO170" s="31">
        <f>H170*0</f>
        <v>0</v>
      </c>
      <c r="AP170" s="31">
        <f>H170*(1-0)</f>
        <v>0</v>
      </c>
      <c r="AQ170" s="32" t="s">
        <v>146</v>
      </c>
      <c r="AV170" s="31">
        <f>AW170+AX170</f>
        <v>0</v>
      </c>
      <c r="AW170" s="31">
        <f>G170*AO170</f>
        <v>0</v>
      </c>
      <c r="AX170" s="31">
        <f>G170*AP170</f>
        <v>0</v>
      </c>
      <c r="AY170" s="32" t="s">
        <v>340</v>
      </c>
      <c r="AZ170" s="32" t="s">
        <v>211</v>
      </c>
      <c r="BA170" s="42" t="s">
        <v>128</v>
      </c>
      <c r="BC170" s="31">
        <f>AW170+AX170</f>
        <v>0</v>
      </c>
      <c r="BD170" s="31">
        <f>H170/(100-BE170)*100</f>
        <v>0</v>
      </c>
      <c r="BE170" s="31">
        <v>0</v>
      </c>
      <c r="BF170" s="31">
        <f>K170</f>
        <v>0</v>
      </c>
      <c r="BH170" s="31">
        <f>G170*AO170</f>
        <v>0</v>
      </c>
      <c r="BI170" s="31">
        <f>G170*AP170</f>
        <v>0</v>
      </c>
      <c r="BJ170" s="31">
        <f>G170*H170</f>
        <v>0</v>
      </c>
      <c r="BK170" s="31"/>
      <c r="BL170" s="31">
        <v>764</v>
      </c>
      <c r="BW170" s="31">
        <v>21</v>
      </c>
    </row>
    <row r="171" spans="1:12" ht="15" customHeight="1">
      <c r="A171" s="60"/>
      <c r="D171" s="61" t="s">
        <v>425</v>
      </c>
      <c r="E171" s="62"/>
      <c r="G171" s="63">
        <v>7200.000000000001</v>
      </c>
      <c r="L171" s="64"/>
    </row>
    <row r="172" spans="1:47" ht="15" customHeight="1">
      <c r="A172" s="55"/>
      <c r="B172" s="56" t="s">
        <v>85</v>
      </c>
      <c r="C172" s="56" t="s">
        <v>426</v>
      </c>
      <c r="D172" s="122" t="s">
        <v>427</v>
      </c>
      <c r="E172" s="122"/>
      <c r="F172" s="57" t="s">
        <v>79</v>
      </c>
      <c r="G172" s="57" t="s">
        <v>79</v>
      </c>
      <c r="H172" s="57" t="s">
        <v>79</v>
      </c>
      <c r="I172" s="36">
        <f>SUM(I173:I229)</f>
        <v>0</v>
      </c>
      <c r="J172" s="42"/>
      <c r="K172" s="36">
        <f>SUM(K173:K229)</f>
        <v>84.80012378100001</v>
      </c>
      <c r="L172" s="58"/>
      <c r="AI172" s="42" t="s">
        <v>85</v>
      </c>
      <c r="AS172" s="36">
        <f>SUM(AJ173:AJ229)</f>
        <v>0</v>
      </c>
      <c r="AT172" s="36">
        <f>SUM(AK173:AK229)</f>
        <v>0</v>
      </c>
      <c r="AU172" s="36">
        <f>SUM(AL173:AL229)</f>
        <v>0</v>
      </c>
    </row>
    <row r="173" spans="1:75" ht="13.5" customHeight="1">
      <c r="A173" s="30" t="s">
        <v>139</v>
      </c>
      <c r="B173" s="3" t="s">
        <v>85</v>
      </c>
      <c r="C173" s="3" t="s">
        <v>428</v>
      </c>
      <c r="D173" s="78" t="s">
        <v>429</v>
      </c>
      <c r="E173" s="78"/>
      <c r="F173" s="3" t="s">
        <v>124</v>
      </c>
      <c r="G173" s="31">
        <v>542.9934</v>
      </c>
      <c r="H173" s="31">
        <v>0</v>
      </c>
      <c r="I173" s="31">
        <f>G173*H173</f>
        <v>0</v>
      </c>
      <c r="J173" s="31">
        <v>0.067</v>
      </c>
      <c r="K173" s="31">
        <f>G173*J173</f>
        <v>36.3805578</v>
      </c>
      <c r="L173" s="59" t="s">
        <v>125</v>
      </c>
      <c r="Z173" s="31">
        <f>IF(AQ173="5",BJ173,0)</f>
        <v>0</v>
      </c>
      <c r="AB173" s="31">
        <f>IF(AQ173="1",BH173,0)</f>
        <v>0</v>
      </c>
      <c r="AC173" s="31">
        <f>IF(AQ173="1",BI173,0)</f>
        <v>0</v>
      </c>
      <c r="AD173" s="31">
        <f>IF(AQ173="7",BH173,0)</f>
        <v>0</v>
      </c>
      <c r="AE173" s="31">
        <f>IF(AQ173="7",BI173,0)</f>
        <v>0</v>
      </c>
      <c r="AF173" s="31">
        <f>IF(AQ173="2",BH173,0)</f>
        <v>0</v>
      </c>
      <c r="AG173" s="31">
        <f>IF(AQ173="2",BI173,0)</f>
        <v>0</v>
      </c>
      <c r="AH173" s="31">
        <f>IF(AQ173="0",BJ173,0)</f>
        <v>0</v>
      </c>
      <c r="AI173" s="42" t="s">
        <v>85</v>
      </c>
      <c r="AJ173" s="31">
        <f>IF(AN173=0,I173,0)</f>
        <v>0</v>
      </c>
      <c r="AK173" s="31">
        <f>IF(AN173=12,I173,0)</f>
        <v>0</v>
      </c>
      <c r="AL173" s="31">
        <f>IF(AN173=21,I173,0)</f>
        <v>0</v>
      </c>
      <c r="AN173" s="31">
        <v>21</v>
      </c>
      <c r="AO173" s="31">
        <f>H173*0</f>
        <v>0</v>
      </c>
      <c r="AP173" s="31">
        <f>H173*(1-0)</f>
        <v>0</v>
      </c>
      <c r="AQ173" s="32" t="s">
        <v>154</v>
      </c>
      <c r="AV173" s="31">
        <f>AW173+AX173</f>
        <v>0</v>
      </c>
      <c r="AW173" s="31">
        <f>G173*AO173</f>
        <v>0</v>
      </c>
      <c r="AX173" s="31">
        <f>G173*AP173</f>
        <v>0</v>
      </c>
      <c r="AY173" s="32" t="s">
        <v>430</v>
      </c>
      <c r="AZ173" s="32" t="s">
        <v>211</v>
      </c>
      <c r="BA173" s="42" t="s">
        <v>128</v>
      </c>
      <c r="BC173" s="31">
        <f>AW173+AX173</f>
        <v>0</v>
      </c>
      <c r="BD173" s="31">
        <f>H173/(100-BE173)*100</f>
        <v>0</v>
      </c>
      <c r="BE173" s="31">
        <v>0</v>
      </c>
      <c r="BF173" s="31">
        <f>K173</f>
        <v>36.3805578</v>
      </c>
      <c r="BH173" s="31">
        <f>G173*AO173</f>
        <v>0</v>
      </c>
      <c r="BI173" s="31">
        <f>G173*AP173</f>
        <v>0</v>
      </c>
      <c r="BJ173" s="31">
        <f>G173*H173</f>
        <v>0</v>
      </c>
      <c r="BK173" s="31"/>
      <c r="BL173" s="31">
        <v>765</v>
      </c>
      <c r="BW173" s="31">
        <v>21</v>
      </c>
    </row>
    <row r="174" spans="1:12" ht="15" customHeight="1">
      <c r="A174" s="60"/>
      <c r="D174" s="61" t="s">
        <v>432</v>
      </c>
      <c r="E174" s="62"/>
      <c r="G174" s="63">
        <v>219.36165000000003</v>
      </c>
      <c r="L174" s="64"/>
    </row>
    <row r="175" spans="1:12" ht="15" customHeight="1">
      <c r="A175" s="60"/>
      <c r="D175" s="61" t="s">
        <v>433</v>
      </c>
      <c r="E175" s="62"/>
      <c r="G175" s="63">
        <v>59.85956</v>
      </c>
      <c r="L175" s="64"/>
    </row>
    <row r="176" spans="1:12" ht="15" customHeight="1">
      <c r="A176" s="60"/>
      <c r="D176" s="61" t="s">
        <v>434</v>
      </c>
      <c r="E176" s="62"/>
      <c r="G176" s="63">
        <v>100.93993</v>
      </c>
      <c r="L176" s="64"/>
    </row>
    <row r="177" spans="1:12" ht="15" customHeight="1">
      <c r="A177" s="60"/>
      <c r="D177" s="61" t="s">
        <v>435</v>
      </c>
      <c r="E177" s="62"/>
      <c r="G177" s="63">
        <v>45.327000000000005</v>
      </c>
      <c r="L177" s="64"/>
    </row>
    <row r="178" spans="1:12" ht="15" customHeight="1">
      <c r="A178" s="60"/>
      <c r="D178" s="61" t="s">
        <v>436</v>
      </c>
      <c r="E178" s="62"/>
      <c r="G178" s="63">
        <v>33.81535</v>
      </c>
      <c r="L178" s="64"/>
    </row>
    <row r="179" spans="1:12" ht="15" customHeight="1">
      <c r="A179" s="60"/>
      <c r="D179" s="61" t="s">
        <v>437</v>
      </c>
      <c r="E179" s="62"/>
      <c r="G179" s="63">
        <v>40.969910000000006</v>
      </c>
      <c r="L179" s="64"/>
    </row>
    <row r="180" spans="1:12" ht="15" customHeight="1">
      <c r="A180" s="60"/>
      <c r="D180" s="61" t="s">
        <v>438</v>
      </c>
      <c r="E180" s="62"/>
      <c r="G180" s="63">
        <v>42.720000000000006</v>
      </c>
      <c r="L180" s="64"/>
    </row>
    <row r="181" spans="1:75" ht="13.5" customHeight="1">
      <c r="A181" s="30" t="s">
        <v>439</v>
      </c>
      <c r="B181" s="3" t="s">
        <v>85</v>
      </c>
      <c r="C181" s="3" t="s">
        <v>440</v>
      </c>
      <c r="D181" s="78" t="s">
        <v>441</v>
      </c>
      <c r="E181" s="78"/>
      <c r="F181" s="3" t="s">
        <v>124</v>
      </c>
      <c r="G181" s="31">
        <v>542.994</v>
      </c>
      <c r="H181" s="31">
        <v>0</v>
      </c>
      <c r="I181" s="31">
        <f>G181*H181</f>
        <v>0</v>
      </c>
      <c r="J181" s="31">
        <v>1E-05</v>
      </c>
      <c r="K181" s="31">
        <f>G181*J181</f>
        <v>0.005429940000000001</v>
      </c>
      <c r="L181" s="59" t="s">
        <v>125</v>
      </c>
      <c r="Z181" s="31">
        <f>IF(AQ181="5",BJ181,0)</f>
        <v>0</v>
      </c>
      <c r="AB181" s="31">
        <f>IF(AQ181="1",BH181,0)</f>
        <v>0</v>
      </c>
      <c r="AC181" s="31">
        <f>IF(AQ181="1",BI181,0)</f>
        <v>0</v>
      </c>
      <c r="AD181" s="31">
        <f>IF(AQ181="7",BH181,0)</f>
        <v>0</v>
      </c>
      <c r="AE181" s="31">
        <f>IF(AQ181="7",BI181,0)</f>
        <v>0</v>
      </c>
      <c r="AF181" s="31">
        <f>IF(AQ181="2",BH181,0)</f>
        <v>0</v>
      </c>
      <c r="AG181" s="31">
        <f>IF(AQ181="2",BI181,0)</f>
        <v>0</v>
      </c>
      <c r="AH181" s="31">
        <f>IF(AQ181="0",BJ181,0)</f>
        <v>0</v>
      </c>
      <c r="AI181" s="42" t="s">
        <v>85</v>
      </c>
      <c r="AJ181" s="31">
        <f>IF(AN181=0,I181,0)</f>
        <v>0</v>
      </c>
      <c r="AK181" s="31">
        <f>IF(AN181=12,I181,0)</f>
        <v>0</v>
      </c>
      <c r="AL181" s="31">
        <f>IF(AN181=21,I181,0)</f>
        <v>0</v>
      </c>
      <c r="AN181" s="31">
        <v>21</v>
      </c>
      <c r="AO181" s="31">
        <f>H181*0.0403227339561272</f>
        <v>0</v>
      </c>
      <c r="AP181" s="31">
        <f>H181*(1-0.0403227339561272)</f>
        <v>0</v>
      </c>
      <c r="AQ181" s="32" t="s">
        <v>154</v>
      </c>
      <c r="AV181" s="31">
        <f>AW181+AX181</f>
        <v>0</v>
      </c>
      <c r="AW181" s="31">
        <f>G181*AO181</f>
        <v>0</v>
      </c>
      <c r="AX181" s="31">
        <f>G181*AP181</f>
        <v>0</v>
      </c>
      <c r="AY181" s="32" t="s">
        <v>430</v>
      </c>
      <c r="AZ181" s="32" t="s">
        <v>211</v>
      </c>
      <c r="BA181" s="42" t="s">
        <v>128</v>
      </c>
      <c r="BC181" s="31">
        <f>AW181+AX181</f>
        <v>0</v>
      </c>
      <c r="BD181" s="31">
        <f>H181/(100-BE181)*100</f>
        <v>0</v>
      </c>
      <c r="BE181" s="31">
        <v>0</v>
      </c>
      <c r="BF181" s="31">
        <f>K181</f>
        <v>0.005429940000000001</v>
      </c>
      <c r="BH181" s="31">
        <f>G181*AO181</f>
        <v>0</v>
      </c>
      <c r="BI181" s="31">
        <f>G181*AP181</f>
        <v>0</v>
      </c>
      <c r="BJ181" s="31">
        <f>G181*H181</f>
        <v>0</v>
      </c>
      <c r="BK181" s="31"/>
      <c r="BL181" s="31">
        <v>765</v>
      </c>
      <c r="BW181" s="31">
        <v>21</v>
      </c>
    </row>
    <row r="182" spans="1:12" ht="15" customHeight="1">
      <c r="A182" s="60"/>
      <c r="D182" s="61" t="s">
        <v>237</v>
      </c>
      <c r="E182" s="62"/>
      <c r="G182" s="63">
        <v>542.994</v>
      </c>
      <c r="L182" s="64"/>
    </row>
    <row r="183" spans="1:75" ht="13.5" customHeight="1">
      <c r="A183" s="30" t="s">
        <v>442</v>
      </c>
      <c r="B183" s="3" t="s">
        <v>85</v>
      </c>
      <c r="C183" s="3" t="s">
        <v>443</v>
      </c>
      <c r="D183" s="78" t="s">
        <v>444</v>
      </c>
      <c r="E183" s="78"/>
      <c r="F183" s="3" t="s">
        <v>209</v>
      </c>
      <c r="G183" s="31">
        <v>113.7</v>
      </c>
      <c r="H183" s="31">
        <v>0</v>
      </c>
      <c r="I183" s="31">
        <f>G183*H183</f>
        <v>0</v>
      </c>
      <c r="J183" s="31">
        <v>0.023</v>
      </c>
      <c r="K183" s="31">
        <f>G183*J183</f>
        <v>2.6151</v>
      </c>
      <c r="L183" s="59" t="s">
        <v>125</v>
      </c>
      <c r="Z183" s="31">
        <f>IF(AQ183="5",BJ183,0)</f>
        <v>0</v>
      </c>
      <c r="AB183" s="31">
        <f>IF(AQ183="1",BH183,0)</f>
        <v>0</v>
      </c>
      <c r="AC183" s="31">
        <f>IF(AQ183="1",BI183,0)</f>
        <v>0</v>
      </c>
      <c r="AD183" s="31">
        <f>IF(AQ183="7",BH183,0)</f>
        <v>0</v>
      </c>
      <c r="AE183" s="31">
        <f>IF(AQ183="7",BI183,0)</f>
        <v>0</v>
      </c>
      <c r="AF183" s="31">
        <f>IF(AQ183="2",BH183,0)</f>
        <v>0</v>
      </c>
      <c r="AG183" s="31">
        <f>IF(AQ183="2",BI183,0)</f>
        <v>0</v>
      </c>
      <c r="AH183" s="31">
        <f>IF(AQ183="0",BJ183,0)</f>
        <v>0</v>
      </c>
      <c r="AI183" s="42" t="s">
        <v>85</v>
      </c>
      <c r="AJ183" s="31">
        <f>IF(AN183=0,I183,0)</f>
        <v>0</v>
      </c>
      <c r="AK183" s="31">
        <f>IF(AN183=12,I183,0)</f>
        <v>0</v>
      </c>
      <c r="AL183" s="31">
        <f>IF(AN183=21,I183,0)</f>
        <v>0</v>
      </c>
      <c r="AN183" s="31">
        <v>21</v>
      </c>
      <c r="AO183" s="31">
        <f>H183*0</f>
        <v>0</v>
      </c>
      <c r="AP183" s="31">
        <f>H183*(1-0)</f>
        <v>0</v>
      </c>
      <c r="AQ183" s="32" t="s">
        <v>154</v>
      </c>
      <c r="AV183" s="31">
        <f>AW183+AX183</f>
        <v>0</v>
      </c>
      <c r="AW183" s="31">
        <f>G183*AO183</f>
        <v>0</v>
      </c>
      <c r="AX183" s="31">
        <f>G183*AP183</f>
        <v>0</v>
      </c>
      <c r="AY183" s="32" t="s">
        <v>430</v>
      </c>
      <c r="AZ183" s="32" t="s">
        <v>211</v>
      </c>
      <c r="BA183" s="42" t="s">
        <v>128</v>
      </c>
      <c r="BC183" s="31">
        <f>AW183+AX183</f>
        <v>0</v>
      </c>
      <c r="BD183" s="31">
        <f>H183/(100-BE183)*100</f>
        <v>0</v>
      </c>
      <c r="BE183" s="31">
        <v>0</v>
      </c>
      <c r="BF183" s="31">
        <f>K183</f>
        <v>2.6151</v>
      </c>
      <c r="BH183" s="31">
        <f>G183*AO183</f>
        <v>0</v>
      </c>
      <c r="BI183" s="31">
        <f>G183*AP183</f>
        <v>0</v>
      </c>
      <c r="BJ183" s="31">
        <f>G183*H183</f>
        <v>0</v>
      </c>
      <c r="BK183" s="31"/>
      <c r="BL183" s="31">
        <v>765</v>
      </c>
      <c r="BW183" s="31">
        <v>21</v>
      </c>
    </row>
    <row r="184" spans="1:12" ht="15" customHeight="1">
      <c r="A184" s="60"/>
      <c r="D184" s="61" t="s">
        <v>445</v>
      </c>
      <c r="E184" s="62"/>
      <c r="G184" s="63">
        <v>113.7</v>
      </c>
      <c r="L184" s="64"/>
    </row>
    <row r="185" spans="1:75" ht="13.5" customHeight="1">
      <c r="A185" s="30" t="s">
        <v>446</v>
      </c>
      <c r="B185" s="3" t="s">
        <v>85</v>
      </c>
      <c r="C185" s="3" t="s">
        <v>447</v>
      </c>
      <c r="D185" s="78" t="s">
        <v>448</v>
      </c>
      <c r="E185" s="78"/>
      <c r="F185" s="3" t="s">
        <v>449</v>
      </c>
      <c r="G185" s="31">
        <v>3</v>
      </c>
      <c r="H185" s="31">
        <v>0</v>
      </c>
      <c r="I185" s="31">
        <f>G185*H185</f>
        <v>0</v>
      </c>
      <c r="J185" s="31">
        <v>0</v>
      </c>
      <c r="K185" s="31">
        <f>G185*J185</f>
        <v>0</v>
      </c>
      <c r="L185" s="59"/>
      <c r="Z185" s="31">
        <f>IF(AQ185="5",BJ185,0)</f>
        <v>0</v>
      </c>
      <c r="AB185" s="31">
        <f>IF(AQ185="1",BH185,0)</f>
        <v>0</v>
      </c>
      <c r="AC185" s="31">
        <f>IF(AQ185="1",BI185,0)</f>
        <v>0</v>
      </c>
      <c r="AD185" s="31">
        <f>IF(AQ185="7",BH185,0)</f>
        <v>0</v>
      </c>
      <c r="AE185" s="31">
        <f>IF(AQ185="7",BI185,0)</f>
        <v>0</v>
      </c>
      <c r="AF185" s="31">
        <f>IF(AQ185="2",BH185,0)</f>
        <v>0</v>
      </c>
      <c r="AG185" s="31">
        <f>IF(AQ185="2",BI185,0)</f>
        <v>0</v>
      </c>
      <c r="AH185" s="31">
        <f>IF(AQ185="0",BJ185,0)</f>
        <v>0</v>
      </c>
      <c r="AI185" s="42" t="s">
        <v>85</v>
      </c>
      <c r="AJ185" s="31">
        <f>IF(AN185=0,I185,0)</f>
        <v>0</v>
      </c>
      <c r="AK185" s="31">
        <f>IF(AN185=12,I185,0)</f>
        <v>0</v>
      </c>
      <c r="AL185" s="31">
        <f>IF(AN185=21,I185,0)</f>
        <v>0</v>
      </c>
      <c r="AN185" s="31">
        <v>21</v>
      </c>
      <c r="AO185" s="31">
        <f>H185*0</f>
        <v>0</v>
      </c>
      <c r="AP185" s="31">
        <f>H185*(1-0)</f>
        <v>0</v>
      </c>
      <c r="AQ185" s="32" t="s">
        <v>154</v>
      </c>
      <c r="AV185" s="31">
        <f>AW185+AX185</f>
        <v>0</v>
      </c>
      <c r="AW185" s="31">
        <f>G185*AO185</f>
        <v>0</v>
      </c>
      <c r="AX185" s="31">
        <f>G185*AP185</f>
        <v>0</v>
      </c>
      <c r="AY185" s="32" t="s">
        <v>430</v>
      </c>
      <c r="AZ185" s="32" t="s">
        <v>211</v>
      </c>
      <c r="BA185" s="42" t="s">
        <v>128</v>
      </c>
      <c r="BC185" s="31">
        <f>AW185+AX185</f>
        <v>0</v>
      </c>
      <c r="BD185" s="31">
        <f>H185/(100-BE185)*100</f>
        <v>0</v>
      </c>
      <c r="BE185" s="31">
        <v>0</v>
      </c>
      <c r="BF185" s="31">
        <f>K185</f>
        <v>0</v>
      </c>
      <c r="BH185" s="31">
        <f>G185*AO185</f>
        <v>0</v>
      </c>
      <c r="BI185" s="31">
        <f>G185*AP185</f>
        <v>0</v>
      </c>
      <c r="BJ185" s="31">
        <f>G185*H185</f>
        <v>0</v>
      </c>
      <c r="BK185" s="31"/>
      <c r="BL185" s="31">
        <v>765</v>
      </c>
      <c r="BW185" s="31">
        <v>21</v>
      </c>
    </row>
    <row r="186" spans="1:12" ht="15" customHeight="1">
      <c r="A186" s="60"/>
      <c r="D186" s="61" t="s">
        <v>134</v>
      </c>
      <c r="E186" s="62"/>
      <c r="G186" s="63">
        <v>3.0000000000000004</v>
      </c>
      <c r="L186" s="64"/>
    </row>
    <row r="187" spans="1:75" ht="13.5" customHeight="1">
      <c r="A187" s="30" t="s">
        <v>450</v>
      </c>
      <c r="B187" s="3" t="s">
        <v>85</v>
      </c>
      <c r="C187" s="3" t="s">
        <v>451</v>
      </c>
      <c r="D187" s="78" t="s">
        <v>452</v>
      </c>
      <c r="E187" s="78"/>
      <c r="F187" s="3" t="s">
        <v>209</v>
      </c>
      <c r="G187" s="31">
        <v>296.8</v>
      </c>
      <c r="H187" s="31">
        <v>0</v>
      </c>
      <c r="I187" s="31">
        <f>G187*H187</f>
        <v>0</v>
      </c>
      <c r="J187" s="31">
        <v>1E-05</v>
      </c>
      <c r="K187" s="31">
        <f>G187*J187</f>
        <v>0.002968</v>
      </c>
      <c r="L187" s="59" t="s">
        <v>125</v>
      </c>
      <c r="Z187" s="31">
        <f>IF(AQ187="5",BJ187,0)</f>
        <v>0</v>
      </c>
      <c r="AB187" s="31">
        <f>IF(AQ187="1",BH187,0)</f>
        <v>0</v>
      </c>
      <c r="AC187" s="31">
        <f>IF(AQ187="1",BI187,0)</f>
        <v>0</v>
      </c>
      <c r="AD187" s="31">
        <f>IF(AQ187="7",BH187,0)</f>
        <v>0</v>
      </c>
      <c r="AE187" s="31">
        <f>IF(AQ187="7",BI187,0)</f>
        <v>0</v>
      </c>
      <c r="AF187" s="31">
        <f>IF(AQ187="2",BH187,0)</f>
        <v>0</v>
      </c>
      <c r="AG187" s="31">
        <f>IF(AQ187="2",BI187,0)</f>
        <v>0</v>
      </c>
      <c r="AH187" s="31">
        <f>IF(AQ187="0",BJ187,0)</f>
        <v>0</v>
      </c>
      <c r="AI187" s="42" t="s">
        <v>85</v>
      </c>
      <c r="AJ187" s="31">
        <f>IF(AN187=0,I187,0)</f>
        <v>0</v>
      </c>
      <c r="AK187" s="31">
        <f>IF(AN187=12,I187,0)</f>
        <v>0</v>
      </c>
      <c r="AL187" s="31">
        <f>IF(AN187=21,I187,0)</f>
        <v>0</v>
      </c>
      <c r="AN187" s="31">
        <v>21</v>
      </c>
      <c r="AO187" s="31">
        <f>H187*0.0500714498712118</f>
        <v>0</v>
      </c>
      <c r="AP187" s="31">
        <f>H187*(1-0.0500714498712118)</f>
        <v>0</v>
      </c>
      <c r="AQ187" s="32" t="s">
        <v>154</v>
      </c>
      <c r="AV187" s="31">
        <f>AW187+AX187</f>
        <v>0</v>
      </c>
      <c r="AW187" s="31">
        <f>G187*AO187</f>
        <v>0</v>
      </c>
      <c r="AX187" s="31">
        <f>G187*AP187</f>
        <v>0</v>
      </c>
      <c r="AY187" s="32" t="s">
        <v>430</v>
      </c>
      <c r="AZ187" s="32" t="s">
        <v>211</v>
      </c>
      <c r="BA187" s="42" t="s">
        <v>128</v>
      </c>
      <c r="BC187" s="31">
        <f>AW187+AX187</f>
        <v>0</v>
      </c>
      <c r="BD187" s="31">
        <f>H187/(100-BE187)*100</f>
        <v>0</v>
      </c>
      <c r="BE187" s="31">
        <v>0</v>
      </c>
      <c r="BF187" s="31">
        <f>K187</f>
        <v>0.002968</v>
      </c>
      <c r="BH187" s="31">
        <f>G187*AO187</f>
        <v>0</v>
      </c>
      <c r="BI187" s="31">
        <f>G187*AP187</f>
        <v>0</v>
      </c>
      <c r="BJ187" s="31">
        <f>G187*H187</f>
        <v>0</v>
      </c>
      <c r="BK187" s="31"/>
      <c r="BL187" s="31">
        <v>765</v>
      </c>
      <c r="BW187" s="31">
        <v>21</v>
      </c>
    </row>
    <row r="188" spans="1:12" ht="15" customHeight="1">
      <c r="A188" s="60"/>
      <c r="D188" s="61" t="s">
        <v>453</v>
      </c>
      <c r="E188" s="62"/>
      <c r="G188" s="63">
        <v>296.8</v>
      </c>
      <c r="L188" s="64"/>
    </row>
    <row r="189" spans="1:75" ht="13.5" customHeight="1">
      <c r="A189" s="30" t="s">
        <v>454</v>
      </c>
      <c r="B189" s="3" t="s">
        <v>85</v>
      </c>
      <c r="C189" s="3" t="s">
        <v>455</v>
      </c>
      <c r="D189" s="78" t="s">
        <v>456</v>
      </c>
      <c r="E189" s="78"/>
      <c r="F189" s="3" t="s">
        <v>209</v>
      </c>
      <c r="G189" s="31">
        <v>92.5</v>
      </c>
      <c r="H189" s="31">
        <v>0</v>
      </c>
      <c r="I189" s="31">
        <f>G189*H189</f>
        <v>0</v>
      </c>
      <c r="J189" s="31">
        <v>0.01428</v>
      </c>
      <c r="K189" s="31">
        <f>G189*J189</f>
        <v>1.3209</v>
      </c>
      <c r="L189" s="59" t="s">
        <v>125</v>
      </c>
      <c r="Z189" s="31">
        <f>IF(AQ189="5",BJ189,0)</f>
        <v>0</v>
      </c>
      <c r="AB189" s="31">
        <f>IF(AQ189="1",BH189,0)</f>
        <v>0</v>
      </c>
      <c r="AC189" s="31">
        <f>IF(AQ189="1",BI189,0)</f>
        <v>0</v>
      </c>
      <c r="AD189" s="31">
        <f>IF(AQ189="7",BH189,0)</f>
        <v>0</v>
      </c>
      <c r="AE189" s="31">
        <f>IF(AQ189="7",BI189,0)</f>
        <v>0</v>
      </c>
      <c r="AF189" s="31">
        <f>IF(AQ189="2",BH189,0)</f>
        <v>0</v>
      </c>
      <c r="AG189" s="31">
        <f>IF(AQ189="2",BI189,0)</f>
        <v>0</v>
      </c>
      <c r="AH189" s="31">
        <f>IF(AQ189="0",BJ189,0)</f>
        <v>0</v>
      </c>
      <c r="AI189" s="42" t="s">
        <v>85</v>
      </c>
      <c r="AJ189" s="31">
        <f>IF(AN189=0,I189,0)</f>
        <v>0</v>
      </c>
      <c r="AK189" s="31">
        <f>IF(AN189=12,I189,0)</f>
        <v>0</v>
      </c>
      <c r="AL189" s="31">
        <f>IF(AN189=21,I189,0)</f>
        <v>0</v>
      </c>
      <c r="AN189" s="31">
        <v>21</v>
      </c>
      <c r="AO189" s="31">
        <f>H189*0.659495575791789</f>
        <v>0</v>
      </c>
      <c r="AP189" s="31">
        <f>H189*(1-0.659495575791789)</f>
        <v>0</v>
      </c>
      <c r="AQ189" s="32" t="s">
        <v>154</v>
      </c>
      <c r="AV189" s="31">
        <f>AW189+AX189</f>
        <v>0</v>
      </c>
      <c r="AW189" s="31">
        <f>G189*AO189</f>
        <v>0</v>
      </c>
      <c r="AX189" s="31">
        <f>G189*AP189</f>
        <v>0</v>
      </c>
      <c r="AY189" s="32" t="s">
        <v>430</v>
      </c>
      <c r="AZ189" s="32" t="s">
        <v>211</v>
      </c>
      <c r="BA189" s="42" t="s">
        <v>128</v>
      </c>
      <c r="BC189" s="31">
        <f>AW189+AX189</f>
        <v>0</v>
      </c>
      <c r="BD189" s="31">
        <f>H189/(100-BE189)*100</f>
        <v>0</v>
      </c>
      <c r="BE189" s="31">
        <v>0</v>
      </c>
      <c r="BF189" s="31">
        <f>K189</f>
        <v>1.3209</v>
      </c>
      <c r="BH189" s="31">
        <f>G189*AO189</f>
        <v>0</v>
      </c>
      <c r="BI189" s="31">
        <f>G189*AP189</f>
        <v>0</v>
      </c>
      <c r="BJ189" s="31">
        <f>G189*H189</f>
        <v>0</v>
      </c>
      <c r="BK189" s="31"/>
      <c r="BL189" s="31">
        <v>765</v>
      </c>
      <c r="BW189" s="31">
        <v>21</v>
      </c>
    </row>
    <row r="190" spans="1:12" ht="15" customHeight="1">
      <c r="A190" s="60"/>
      <c r="D190" s="61" t="s">
        <v>457</v>
      </c>
      <c r="E190" s="62"/>
      <c r="G190" s="63">
        <v>92.50000000000001</v>
      </c>
      <c r="L190" s="64"/>
    </row>
    <row r="191" spans="1:75" ht="13.5" customHeight="1">
      <c r="A191" s="30" t="s">
        <v>458</v>
      </c>
      <c r="B191" s="3" t="s">
        <v>85</v>
      </c>
      <c r="C191" s="3" t="s">
        <v>459</v>
      </c>
      <c r="D191" s="78" t="s">
        <v>460</v>
      </c>
      <c r="E191" s="78"/>
      <c r="F191" s="3" t="s">
        <v>209</v>
      </c>
      <c r="G191" s="31">
        <v>21.2</v>
      </c>
      <c r="H191" s="31">
        <v>0</v>
      </c>
      <c r="I191" s="31">
        <f>G191*H191</f>
        <v>0</v>
      </c>
      <c r="J191" s="31">
        <v>0.01427</v>
      </c>
      <c r="K191" s="31">
        <f>G191*J191</f>
        <v>0.30252399999999996</v>
      </c>
      <c r="L191" s="59" t="s">
        <v>125</v>
      </c>
      <c r="Z191" s="31">
        <f>IF(AQ191="5",BJ191,0)</f>
        <v>0</v>
      </c>
      <c r="AB191" s="31">
        <f>IF(AQ191="1",BH191,0)</f>
        <v>0</v>
      </c>
      <c r="AC191" s="31">
        <f>IF(AQ191="1",BI191,0)</f>
        <v>0</v>
      </c>
      <c r="AD191" s="31">
        <f>IF(AQ191="7",BH191,0)</f>
        <v>0</v>
      </c>
      <c r="AE191" s="31">
        <f>IF(AQ191="7",BI191,0)</f>
        <v>0</v>
      </c>
      <c r="AF191" s="31">
        <f>IF(AQ191="2",BH191,0)</f>
        <v>0</v>
      </c>
      <c r="AG191" s="31">
        <f>IF(AQ191="2",BI191,0)</f>
        <v>0</v>
      </c>
      <c r="AH191" s="31">
        <f>IF(AQ191="0",BJ191,0)</f>
        <v>0</v>
      </c>
      <c r="AI191" s="42" t="s">
        <v>85</v>
      </c>
      <c r="AJ191" s="31">
        <f>IF(AN191=0,I191,0)</f>
        <v>0</v>
      </c>
      <c r="AK191" s="31">
        <f>IF(AN191=12,I191,0)</f>
        <v>0</v>
      </c>
      <c r="AL191" s="31">
        <f>IF(AN191=21,I191,0)</f>
        <v>0</v>
      </c>
      <c r="AN191" s="31">
        <v>21</v>
      </c>
      <c r="AO191" s="31">
        <f>H191*0.769889549702634</f>
        <v>0</v>
      </c>
      <c r="AP191" s="31">
        <f>H191*(1-0.769889549702634)</f>
        <v>0</v>
      </c>
      <c r="AQ191" s="32" t="s">
        <v>154</v>
      </c>
      <c r="AV191" s="31">
        <f>AW191+AX191</f>
        <v>0</v>
      </c>
      <c r="AW191" s="31">
        <f>G191*AO191</f>
        <v>0</v>
      </c>
      <c r="AX191" s="31">
        <f>G191*AP191</f>
        <v>0</v>
      </c>
      <c r="AY191" s="32" t="s">
        <v>430</v>
      </c>
      <c r="AZ191" s="32" t="s">
        <v>211</v>
      </c>
      <c r="BA191" s="42" t="s">
        <v>128</v>
      </c>
      <c r="BC191" s="31">
        <f>AW191+AX191</f>
        <v>0</v>
      </c>
      <c r="BD191" s="31">
        <f>H191/(100-BE191)*100</f>
        <v>0</v>
      </c>
      <c r="BE191" s="31">
        <v>0</v>
      </c>
      <c r="BF191" s="31">
        <f>K191</f>
        <v>0.30252399999999996</v>
      </c>
      <c r="BH191" s="31">
        <f>G191*AO191</f>
        <v>0</v>
      </c>
      <c r="BI191" s="31">
        <f>G191*AP191</f>
        <v>0</v>
      </c>
      <c r="BJ191" s="31">
        <f>G191*H191</f>
        <v>0</v>
      </c>
      <c r="BK191" s="31"/>
      <c r="BL191" s="31">
        <v>765</v>
      </c>
      <c r="BW191" s="31">
        <v>21</v>
      </c>
    </row>
    <row r="192" spans="1:12" ht="15" customHeight="1">
      <c r="A192" s="60"/>
      <c r="D192" s="61" t="s">
        <v>461</v>
      </c>
      <c r="E192" s="62"/>
      <c r="G192" s="63">
        <v>21.200000000000003</v>
      </c>
      <c r="L192" s="64"/>
    </row>
    <row r="193" spans="1:75" ht="13.5" customHeight="1">
      <c r="A193" s="30" t="s">
        <v>462</v>
      </c>
      <c r="B193" s="3" t="s">
        <v>85</v>
      </c>
      <c r="C193" s="3" t="s">
        <v>463</v>
      </c>
      <c r="D193" s="78" t="s">
        <v>464</v>
      </c>
      <c r="E193" s="78"/>
      <c r="F193" s="3" t="s">
        <v>124</v>
      </c>
      <c r="G193" s="31">
        <v>542.9934</v>
      </c>
      <c r="H193" s="31">
        <v>0</v>
      </c>
      <c r="I193" s="31">
        <f>G193*H193</f>
        <v>0</v>
      </c>
      <c r="J193" s="31">
        <v>0.07229</v>
      </c>
      <c r="K193" s="31">
        <f>G193*J193</f>
        <v>39.252992885999994</v>
      </c>
      <c r="L193" s="59" t="s">
        <v>125</v>
      </c>
      <c r="Z193" s="31">
        <f>IF(AQ193="5",BJ193,0)</f>
        <v>0</v>
      </c>
      <c r="AB193" s="31">
        <f>IF(AQ193="1",BH193,0)</f>
        <v>0</v>
      </c>
      <c r="AC193" s="31">
        <f>IF(AQ193="1",BI193,0)</f>
        <v>0</v>
      </c>
      <c r="AD193" s="31">
        <f>IF(AQ193="7",BH193,0)</f>
        <v>0</v>
      </c>
      <c r="AE193" s="31">
        <f>IF(AQ193="7",BI193,0)</f>
        <v>0</v>
      </c>
      <c r="AF193" s="31">
        <f>IF(AQ193="2",BH193,0)</f>
        <v>0</v>
      </c>
      <c r="AG193" s="31">
        <f>IF(AQ193="2",BI193,0)</f>
        <v>0</v>
      </c>
      <c r="AH193" s="31">
        <f>IF(AQ193="0",BJ193,0)</f>
        <v>0</v>
      </c>
      <c r="AI193" s="42" t="s">
        <v>85</v>
      </c>
      <c r="AJ193" s="31">
        <f>IF(AN193=0,I193,0)</f>
        <v>0</v>
      </c>
      <c r="AK193" s="31">
        <f>IF(AN193=12,I193,0)</f>
        <v>0</v>
      </c>
      <c r="AL193" s="31">
        <f>IF(AN193=21,I193,0)</f>
        <v>0</v>
      </c>
      <c r="AN193" s="31">
        <v>21</v>
      </c>
      <c r="AO193" s="31">
        <f>H193*0.745086432850535</f>
        <v>0</v>
      </c>
      <c r="AP193" s="31">
        <f>H193*(1-0.745086432850535)</f>
        <v>0</v>
      </c>
      <c r="AQ193" s="32" t="s">
        <v>154</v>
      </c>
      <c r="AV193" s="31">
        <f>AW193+AX193</f>
        <v>0</v>
      </c>
      <c r="AW193" s="31">
        <f>G193*AO193</f>
        <v>0</v>
      </c>
      <c r="AX193" s="31">
        <f>G193*AP193</f>
        <v>0</v>
      </c>
      <c r="AY193" s="32" t="s">
        <v>430</v>
      </c>
      <c r="AZ193" s="32" t="s">
        <v>211</v>
      </c>
      <c r="BA193" s="42" t="s">
        <v>128</v>
      </c>
      <c r="BC193" s="31">
        <f>AW193+AX193</f>
        <v>0</v>
      </c>
      <c r="BD193" s="31">
        <f>H193/(100-BE193)*100</f>
        <v>0</v>
      </c>
      <c r="BE193" s="31">
        <v>0</v>
      </c>
      <c r="BF193" s="31">
        <f>K193</f>
        <v>39.252992885999994</v>
      </c>
      <c r="BH193" s="31">
        <f>G193*AO193</f>
        <v>0</v>
      </c>
      <c r="BI193" s="31">
        <f>G193*AP193</f>
        <v>0</v>
      </c>
      <c r="BJ193" s="31">
        <f>G193*H193</f>
        <v>0</v>
      </c>
      <c r="BK193" s="31"/>
      <c r="BL193" s="31">
        <v>765</v>
      </c>
      <c r="BW193" s="31">
        <v>21</v>
      </c>
    </row>
    <row r="194" spans="1:12" ht="15" customHeight="1">
      <c r="A194" s="60"/>
      <c r="D194" s="61" t="s">
        <v>432</v>
      </c>
      <c r="E194" s="62"/>
      <c r="G194" s="63">
        <v>219.36165000000003</v>
      </c>
      <c r="L194" s="64"/>
    </row>
    <row r="195" spans="1:12" ht="15" customHeight="1">
      <c r="A195" s="60"/>
      <c r="D195" s="61" t="s">
        <v>433</v>
      </c>
      <c r="E195" s="62"/>
      <c r="G195" s="63">
        <v>59.85956</v>
      </c>
      <c r="L195" s="64"/>
    </row>
    <row r="196" spans="1:12" ht="15" customHeight="1">
      <c r="A196" s="60"/>
      <c r="D196" s="61" t="s">
        <v>434</v>
      </c>
      <c r="E196" s="62"/>
      <c r="G196" s="63">
        <v>100.93993</v>
      </c>
      <c r="L196" s="64"/>
    </row>
    <row r="197" spans="1:12" ht="15" customHeight="1">
      <c r="A197" s="60"/>
      <c r="D197" s="61" t="s">
        <v>435</v>
      </c>
      <c r="E197" s="62"/>
      <c r="G197" s="63">
        <v>45.327000000000005</v>
      </c>
      <c r="L197" s="64"/>
    </row>
    <row r="198" spans="1:12" ht="15" customHeight="1">
      <c r="A198" s="60"/>
      <c r="D198" s="61" t="s">
        <v>436</v>
      </c>
      <c r="E198" s="62"/>
      <c r="G198" s="63">
        <v>33.81535</v>
      </c>
      <c r="L198" s="64"/>
    </row>
    <row r="199" spans="1:12" ht="15" customHeight="1">
      <c r="A199" s="60"/>
      <c r="D199" s="61" t="s">
        <v>437</v>
      </c>
      <c r="E199" s="62"/>
      <c r="G199" s="63">
        <v>40.969910000000006</v>
      </c>
      <c r="L199" s="64"/>
    </row>
    <row r="200" spans="1:12" ht="15" customHeight="1">
      <c r="A200" s="60"/>
      <c r="D200" s="61" t="s">
        <v>438</v>
      </c>
      <c r="E200" s="62"/>
      <c r="G200" s="63">
        <v>42.720000000000006</v>
      </c>
      <c r="L200" s="64"/>
    </row>
    <row r="201" spans="1:75" ht="13.5" customHeight="1">
      <c r="A201" s="30" t="s">
        <v>466</v>
      </c>
      <c r="B201" s="3" t="s">
        <v>85</v>
      </c>
      <c r="C201" s="3" t="s">
        <v>467</v>
      </c>
      <c r="D201" s="78" t="s">
        <v>468</v>
      </c>
      <c r="E201" s="78"/>
      <c r="F201" s="3" t="s">
        <v>349</v>
      </c>
      <c r="G201" s="31">
        <v>13</v>
      </c>
      <c r="H201" s="31">
        <v>0</v>
      </c>
      <c r="I201" s="31">
        <f>G201*H201</f>
        <v>0</v>
      </c>
      <c r="J201" s="31">
        <v>0.0037</v>
      </c>
      <c r="K201" s="31">
        <f>G201*J201</f>
        <v>0.048100000000000004</v>
      </c>
      <c r="L201" s="59" t="s">
        <v>125</v>
      </c>
      <c r="Z201" s="31">
        <f>IF(AQ201="5",BJ201,0)</f>
        <v>0</v>
      </c>
      <c r="AB201" s="31">
        <f>IF(AQ201="1",BH201,0)</f>
        <v>0</v>
      </c>
      <c r="AC201" s="31">
        <f>IF(AQ201="1",BI201,0)</f>
        <v>0</v>
      </c>
      <c r="AD201" s="31">
        <f>IF(AQ201="7",BH201,0)</f>
        <v>0</v>
      </c>
      <c r="AE201" s="31">
        <f>IF(AQ201="7",BI201,0)</f>
        <v>0</v>
      </c>
      <c r="AF201" s="31">
        <f>IF(AQ201="2",BH201,0)</f>
        <v>0</v>
      </c>
      <c r="AG201" s="31">
        <f>IF(AQ201="2",BI201,0)</f>
        <v>0</v>
      </c>
      <c r="AH201" s="31">
        <f>IF(AQ201="0",BJ201,0)</f>
        <v>0</v>
      </c>
      <c r="AI201" s="42" t="s">
        <v>85</v>
      </c>
      <c r="AJ201" s="31">
        <f>IF(AN201=0,I201,0)</f>
        <v>0</v>
      </c>
      <c r="AK201" s="31">
        <f>IF(AN201=12,I201,0)</f>
        <v>0</v>
      </c>
      <c r="AL201" s="31">
        <f>IF(AN201=21,I201,0)</f>
        <v>0</v>
      </c>
      <c r="AN201" s="31">
        <v>21</v>
      </c>
      <c r="AO201" s="31">
        <f>H201*0.982339588918677</f>
        <v>0</v>
      </c>
      <c r="AP201" s="31">
        <f>H201*(1-0.982339588918677)</f>
        <v>0</v>
      </c>
      <c r="AQ201" s="32" t="s">
        <v>154</v>
      </c>
      <c r="AV201" s="31">
        <f>AW201+AX201</f>
        <v>0</v>
      </c>
      <c r="AW201" s="31">
        <f>G201*AO201</f>
        <v>0</v>
      </c>
      <c r="AX201" s="31">
        <f>G201*AP201</f>
        <v>0</v>
      </c>
      <c r="AY201" s="32" t="s">
        <v>430</v>
      </c>
      <c r="AZ201" s="32" t="s">
        <v>211</v>
      </c>
      <c r="BA201" s="42" t="s">
        <v>128</v>
      </c>
      <c r="BC201" s="31">
        <f>AW201+AX201</f>
        <v>0</v>
      </c>
      <c r="BD201" s="31">
        <f>H201/(100-BE201)*100</f>
        <v>0</v>
      </c>
      <c r="BE201" s="31">
        <v>0</v>
      </c>
      <c r="BF201" s="31">
        <f>K201</f>
        <v>0.048100000000000004</v>
      </c>
      <c r="BH201" s="31">
        <f>G201*AO201</f>
        <v>0</v>
      </c>
      <c r="BI201" s="31">
        <f>G201*AP201</f>
        <v>0</v>
      </c>
      <c r="BJ201" s="31">
        <f>G201*H201</f>
        <v>0</v>
      </c>
      <c r="BK201" s="31"/>
      <c r="BL201" s="31">
        <v>765</v>
      </c>
      <c r="BW201" s="31">
        <v>21</v>
      </c>
    </row>
    <row r="202" spans="1:12" ht="15" customHeight="1">
      <c r="A202" s="60"/>
      <c r="D202" s="61" t="s">
        <v>190</v>
      </c>
      <c r="E202" s="62"/>
      <c r="G202" s="63">
        <v>13.000000000000002</v>
      </c>
      <c r="L202" s="64"/>
    </row>
    <row r="203" spans="1:75" ht="13.5" customHeight="1">
      <c r="A203" s="30" t="s">
        <v>469</v>
      </c>
      <c r="B203" s="3" t="s">
        <v>85</v>
      </c>
      <c r="C203" s="3" t="s">
        <v>470</v>
      </c>
      <c r="D203" s="78" t="s">
        <v>471</v>
      </c>
      <c r="E203" s="78"/>
      <c r="F203" s="3" t="s">
        <v>349</v>
      </c>
      <c r="G203" s="31">
        <v>21</v>
      </c>
      <c r="H203" s="31">
        <v>0</v>
      </c>
      <c r="I203" s="31">
        <f>G203*H203</f>
        <v>0</v>
      </c>
      <c r="J203" s="31">
        <v>0.00381</v>
      </c>
      <c r="K203" s="31">
        <f>G203*J203</f>
        <v>0.08001</v>
      </c>
      <c r="L203" s="59" t="s">
        <v>125</v>
      </c>
      <c r="Z203" s="31">
        <f>IF(AQ203="5",BJ203,0)</f>
        <v>0</v>
      </c>
      <c r="AB203" s="31">
        <f>IF(AQ203="1",BH203,0)</f>
        <v>0</v>
      </c>
      <c r="AC203" s="31">
        <f>IF(AQ203="1",BI203,0)</f>
        <v>0</v>
      </c>
      <c r="AD203" s="31">
        <f>IF(AQ203="7",BH203,0)</f>
        <v>0</v>
      </c>
      <c r="AE203" s="31">
        <f>IF(AQ203="7",BI203,0)</f>
        <v>0</v>
      </c>
      <c r="AF203" s="31">
        <f>IF(AQ203="2",BH203,0)</f>
        <v>0</v>
      </c>
      <c r="AG203" s="31">
        <f>IF(AQ203="2",BI203,0)</f>
        <v>0</v>
      </c>
      <c r="AH203" s="31">
        <f>IF(AQ203="0",BJ203,0)</f>
        <v>0</v>
      </c>
      <c r="AI203" s="42" t="s">
        <v>85</v>
      </c>
      <c r="AJ203" s="31">
        <f>IF(AN203=0,I203,0)</f>
        <v>0</v>
      </c>
      <c r="AK203" s="31">
        <f>IF(AN203=12,I203,0)</f>
        <v>0</v>
      </c>
      <c r="AL203" s="31">
        <f>IF(AN203=21,I203,0)</f>
        <v>0</v>
      </c>
      <c r="AN203" s="31">
        <v>21</v>
      </c>
      <c r="AO203" s="31">
        <f>H203*0.989405951090798</f>
        <v>0</v>
      </c>
      <c r="AP203" s="31">
        <f>H203*(1-0.989405951090798)</f>
        <v>0</v>
      </c>
      <c r="AQ203" s="32" t="s">
        <v>154</v>
      </c>
      <c r="AV203" s="31">
        <f>AW203+AX203</f>
        <v>0</v>
      </c>
      <c r="AW203" s="31">
        <f>G203*AO203</f>
        <v>0</v>
      </c>
      <c r="AX203" s="31">
        <f>G203*AP203</f>
        <v>0</v>
      </c>
      <c r="AY203" s="32" t="s">
        <v>430</v>
      </c>
      <c r="AZ203" s="32" t="s">
        <v>211</v>
      </c>
      <c r="BA203" s="42" t="s">
        <v>128</v>
      </c>
      <c r="BC203" s="31">
        <f>AW203+AX203</f>
        <v>0</v>
      </c>
      <c r="BD203" s="31">
        <f>H203/(100-BE203)*100</f>
        <v>0</v>
      </c>
      <c r="BE203" s="31">
        <v>0</v>
      </c>
      <c r="BF203" s="31">
        <f>K203</f>
        <v>0.08001</v>
      </c>
      <c r="BH203" s="31">
        <f>G203*AO203</f>
        <v>0</v>
      </c>
      <c r="BI203" s="31">
        <f>G203*AP203</f>
        <v>0</v>
      </c>
      <c r="BJ203" s="31">
        <f>G203*H203</f>
        <v>0</v>
      </c>
      <c r="BK203" s="31"/>
      <c r="BL203" s="31">
        <v>765</v>
      </c>
      <c r="BW203" s="31">
        <v>21</v>
      </c>
    </row>
    <row r="204" spans="1:12" ht="15" customHeight="1">
      <c r="A204" s="60"/>
      <c r="D204" s="61" t="s">
        <v>154</v>
      </c>
      <c r="E204" s="62"/>
      <c r="G204" s="63">
        <v>7.000000000000001</v>
      </c>
      <c r="L204" s="64"/>
    </row>
    <row r="205" spans="1:12" ht="15" customHeight="1">
      <c r="A205" s="60"/>
      <c r="D205" s="61" t="s">
        <v>472</v>
      </c>
      <c r="E205" s="62"/>
      <c r="G205" s="63">
        <v>14.000000000000002</v>
      </c>
      <c r="L205" s="64"/>
    </row>
    <row r="206" spans="1:75" ht="13.5" customHeight="1">
      <c r="A206" s="30" t="s">
        <v>473</v>
      </c>
      <c r="B206" s="3" t="s">
        <v>85</v>
      </c>
      <c r="C206" s="3" t="s">
        <v>474</v>
      </c>
      <c r="D206" s="78" t="s">
        <v>475</v>
      </c>
      <c r="E206" s="78"/>
      <c r="F206" s="3" t="s">
        <v>124</v>
      </c>
      <c r="G206" s="31">
        <v>23.8</v>
      </c>
      <c r="H206" s="31">
        <v>0</v>
      </c>
      <c r="I206" s="31">
        <f>G206*H206</f>
        <v>0</v>
      </c>
      <c r="J206" s="31">
        <v>0.1</v>
      </c>
      <c r="K206" s="31">
        <f>G206*J206</f>
        <v>2.3800000000000003</v>
      </c>
      <c r="L206" s="59"/>
      <c r="Z206" s="31">
        <f>IF(AQ206="5",BJ206,0)</f>
        <v>0</v>
      </c>
      <c r="AB206" s="31">
        <f>IF(AQ206="1",BH206,0)</f>
        <v>0</v>
      </c>
      <c r="AC206" s="31">
        <f>IF(AQ206="1",BI206,0)</f>
        <v>0</v>
      </c>
      <c r="AD206" s="31">
        <f>IF(AQ206="7",BH206,0)</f>
        <v>0</v>
      </c>
      <c r="AE206" s="31">
        <f>IF(AQ206="7",BI206,0)</f>
        <v>0</v>
      </c>
      <c r="AF206" s="31">
        <f>IF(AQ206="2",BH206,0)</f>
        <v>0</v>
      </c>
      <c r="AG206" s="31">
        <f>IF(AQ206="2",BI206,0)</f>
        <v>0</v>
      </c>
      <c r="AH206" s="31">
        <f>IF(AQ206="0",BJ206,0)</f>
        <v>0</v>
      </c>
      <c r="AI206" s="42" t="s">
        <v>85</v>
      </c>
      <c r="AJ206" s="31">
        <f>IF(AN206=0,I206,0)</f>
        <v>0</v>
      </c>
      <c r="AK206" s="31">
        <f>IF(AN206=12,I206,0)</f>
        <v>0</v>
      </c>
      <c r="AL206" s="31">
        <f>IF(AN206=21,I206,0)</f>
        <v>0</v>
      </c>
      <c r="AN206" s="31">
        <v>21</v>
      </c>
      <c r="AO206" s="31">
        <f>H206*0</f>
        <v>0</v>
      </c>
      <c r="AP206" s="31">
        <f>H206*(1-0)</f>
        <v>0</v>
      </c>
      <c r="AQ206" s="32" t="s">
        <v>154</v>
      </c>
      <c r="AV206" s="31">
        <f>AW206+AX206</f>
        <v>0</v>
      </c>
      <c r="AW206" s="31">
        <f>G206*AO206</f>
        <v>0</v>
      </c>
      <c r="AX206" s="31">
        <f>G206*AP206</f>
        <v>0</v>
      </c>
      <c r="AY206" s="32" t="s">
        <v>430</v>
      </c>
      <c r="AZ206" s="32" t="s">
        <v>211</v>
      </c>
      <c r="BA206" s="42" t="s">
        <v>128</v>
      </c>
      <c r="BC206" s="31">
        <f>AW206+AX206</f>
        <v>0</v>
      </c>
      <c r="BD206" s="31">
        <f>H206/(100-BE206)*100</f>
        <v>0</v>
      </c>
      <c r="BE206" s="31">
        <v>0</v>
      </c>
      <c r="BF206" s="31">
        <f>K206</f>
        <v>2.3800000000000003</v>
      </c>
      <c r="BH206" s="31">
        <f>G206*AO206</f>
        <v>0</v>
      </c>
      <c r="BI206" s="31">
        <f>G206*AP206</f>
        <v>0</v>
      </c>
      <c r="BJ206" s="31">
        <f>G206*H206</f>
        <v>0</v>
      </c>
      <c r="BK206" s="31"/>
      <c r="BL206" s="31">
        <v>765</v>
      </c>
      <c r="BW206" s="31">
        <v>21</v>
      </c>
    </row>
    <row r="207" spans="1:12" ht="15" customHeight="1">
      <c r="A207" s="60"/>
      <c r="D207" s="61" t="s">
        <v>476</v>
      </c>
      <c r="E207" s="62"/>
      <c r="G207" s="63">
        <v>13.600000000000001</v>
      </c>
      <c r="L207" s="64"/>
    </row>
    <row r="208" spans="1:12" ht="15" customHeight="1">
      <c r="A208" s="60"/>
      <c r="D208" s="61" t="s">
        <v>477</v>
      </c>
      <c r="E208" s="62"/>
      <c r="G208" s="63">
        <v>10.200000000000001</v>
      </c>
      <c r="L208" s="64"/>
    </row>
    <row r="209" spans="1:75" ht="13.5" customHeight="1">
      <c r="A209" s="30" t="s">
        <v>478</v>
      </c>
      <c r="B209" s="3" t="s">
        <v>85</v>
      </c>
      <c r="C209" s="3" t="s">
        <v>479</v>
      </c>
      <c r="D209" s="78" t="s">
        <v>480</v>
      </c>
      <c r="E209" s="78"/>
      <c r="F209" s="3" t="s">
        <v>349</v>
      </c>
      <c r="G209" s="31">
        <v>3</v>
      </c>
      <c r="H209" s="31">
        <v>0</v>
      </c>
      <c r="I209" s="31">
        <f>G209*H209</f>
        <v>0</v>
      </c>
      <c r="J209" s="31">
        <v>0.02009</v>
      </c>
      <c r="K209" s="31">
        <f>G209*J209</f>
        <v>0.060270000000000004</v>
      </c>
      <c r="L209" s="59" t="s">
        <v>125</v>
      </c>
      <c r="Z209" s="31">
        <f>IF(AQ209="5",BJ209,0)</f>
        <v>0</v>
      </c>
      <c r="AB209" s="31">
        <f>IF(AQ209="1",BH209,0)</f>
        <v>0</v>
      </c>
      <c r="AC209" s="31">
        <f>IF(AQ209="1",BI209,0)</f>
        <v>0</v>
      </c>
      <c r="AD209" s="31">
        <f>IF(AQ209="7",BH209,0)</f>
        <v>0</v>
      </c>
      <c r="AE209" s="31">
        <f>IF(AQ209="7",BI209,0)</f>
        <v>0</v>
      </c>
      <c r="AF209" s="31">
        <f>IF(AQ209="2",BH209,0)</f>
        <v>0</v>
      </c>
      <c r="AG209" s="31">
        <f>IF(AQ209="2",BI209,0)</f>
        <v>0</v>
      </c>
      <c r="AH209" s="31">
        <f>IF(AQ209="0",BJ209,0)</f>
        <v>0</v>
      </c>
      <c r="AI209" s="42" t="s">
        <v>85</v>
      </c>
      <c r="AJ209" s="31">
        <f>IF(AN209=0,I209,0)</f>
        <v>0</v>
      </c>
      <c r="AK209" s="31">
        <f>IF(AN209=12,I209,0)</f>
        <v>0</v>
      </c>
      <c r="AL209" s="31">
        <f>IF(AN209=21,I209,0)</f>
        <v>0</v>
      </c>
      <c r="AN209" s="31">
        <v>21</v>
      </c>
      <c r="AO209" s="31">
        <f>H209*0.741875409836066</f>
        <v>0</v>
      </c>
      <c r="AP209" s="31">
        <f>H209*(1-0.741875409836066)</f>
        <v>0</v>
      </c>
      <c r="AQ209" s="32" t="s">
        <v>154</v>
      </c>
      <c r="AV209" s="31">
        <f>AW209+AX209</f>
        <v>0</v>
      </c>
      <c r="AW209" s="31">
        <f>G209*AO209</f>
        <v>0</v>
      </c>
      <c r="AX209" s="31">
        <f>G209*AP209</f>
        <v>0</v>
      </c>
      <c r="AY209" s="32" t="s">
        <v>430</v>
      </c>
      <c r="AZ209" s="32" t="s">
        <v>211</v>
      </c>
      <c r="BA209" s="42" t="s">
        <v>128</v>
      </c>
      <c r="BC209" s="31">
        <f>AW209+AX209</f>
        <v>0</v>
      </c>
      <c r="BD209" s="31">
        <f>H209/(100-BE209)*100</f>
        <v>0</v>
      </c>
      <c r="BE209" s="31">
        <v>0</v>
      </c>
      <c r="BF209" s="31">
        <f>K209</f>
        <v>0.060270000000000004</v>
      </c>
      <c r="BH209" s="31">
        <f>G209*AO209</f>
        <v>0</v>
      </c>
      <c r="BI209" s="31">
        <f>G209*AP209</f>
        <v>0</v>
      </c>
      <c r="BJ209" s="31">
        <f>G209*H209</f>
        <v>0</v>
      </c>
      <c r="BK209" s="31"/>
      <c r="BL209" s="31">
        <v>765</v>
      </c>
      <c r="BW209" s="31">
        <v>21</v>
      </c>
    </row>
    <row r="210" spans="1:12" ht="15" customHeight="1">
      <c r="A210" s="60"/>
      <c r="D210" s="61" t="s">
        <v>134</v>
      </c>
      <c r="E210" s="62"/>
      <c r="G210" s="63">
        <v>3.0000000000000004</v>
      </c>
      <c r="L210" s="64"/>
    </row>
    <row r="211" spans="1:75" ht="13.5" customHeight="1">
      <c r="A211" s="30" t="s">
        <v>482</v>
      </c>
      <c r="B211" s="3" t="s">
        <v>85</v>
      </c>
      <c r="C211" s="3" t="s">
        <v>483</v>
      </c>
      <c r="D211" s="78" t="s">
        <v>484</v>
      </c>
      <c r="E211" s="78"/>
      <c r="F211" s="3" t="s">
        <v>349</v>
      </c>
      <c r="G211" s="31">
        <v>5</v>
      </c>
      <c r="H211" s="31">
        <v>0</v>
      </c>
      <c r="I211" s="31">
        <f>G211*H211</f>
        <v>0</v>
      </c>
      <c r="J211" s="31">
        <v>0.08471</v>
      </c>
      <c r="K211" s="31">
        <f>G211*J211</f>
        <v>0.42355</v>
      </c>
      <c r="L211" s="59" t="s">
        <v>125</v>
      </c>
      <c r="Z211" s="31">
        <f>IF(AQ211="5",BJ211,0)</f>
        <v>0</v>
      </c>
      <c r="AB211" s="31">
        <f>IF(AQ211="1",BH211,0)</f>
        <v>0</v>
      </c>
      <c r="AC211" s="31">
        <f>IF(AQ211="1",BI211,0)</f>
        <v>0</v>
      </c>
      <c r="AD211" s="31">
        <f>IF(AQ211="7",BH211,0)</f>
        <v>0</v>
      </c>
      <c r="AE211" s="31">
        <f>IF(AQ211="7",BI211,0)</f>
        <v>0</v>
      </c>
      <c r="AF211" s="31">
        <f>IF(AQ211="2",BH211,0)</f>
        <v>0</v>
      </c>
      <c r="AG211" s="31">
        <f>IF(AQ211="2",BI211,0)</f>
        <v>0</v>
      </c>
      <c r="AH211" s="31">
        <f>IF(AQ211="0",BJ211,0)</f>
        <v>0</v>
      </c>
      <c r="AI211" s="42" t="s">
        <v>85</v>
      </c>
      <c r="AJ211" s="31">
        <f>IF(AN211=0,I211,0)</f>
        <v>0</v>
      </c>
      <c r="AK211" s="31">
        <f>IF(AN211=12,I211,0)</f>
        <v>0</v>
      </c>
      <c r="AL211" s="31">
        <f>IF(AN211=21,I211,0)</f>
        <v>0</v>
      </c>
      <c r="AN211" s="31">
        <v>21</v>
      </c>
      <c r="AO211" s="31">
        <f>H211*0.0993929024081115</f>
        <v>0</v>
      </c>
      <c r="AP211" s="31">
        <f>H211*(1-0.0993929024081115)</f>
        <v>0</v>
      </c>
      <c r="AQ211" s="32" t="s">
        <v>154</v>
      </c>
      <c r="AV211" s="31">
        <f>AW211+AX211</f>
        <v>0</v>
      </c>
      <c r="AW211" s="31">
        <f>G211*AO211</f>
        <v>0</v>
      </c>
      <c r="AX211" s="31">
        <f>G211*AP211</f>
        <v>0</v>
      </c>
      <c r="AY211" s="32" t="s">
        <v>430</v>
      </c>
      <c r="AZ211" s="32" t="s">
        <v>211</v>
      </c>
      <c r="BA211" s="42" t="s">
        <v>128</v>
      </c>
      <c r="BC211" s="31">
        <f>AW211+AX211</f>
        <v>0</v>
      </c>
      <c r="BD211" s="31">
        <f>H211/(100-BE211)*100</f>
        <v>0</v>
      </c>
      <c r="BE211" s="31">
        <v>0</v>
      </c>
      <c r="BF211" s="31">
        <f>K211</f>
        <v>0.42355</v>
      </c>
      <c r="BH211" s="31">
        <f>G211*AO211</f>
        <v>0</v>
      </c>
      <c r="BI211" s="31">
        <f>G211*AP211</f>
        <v>0</v>
      </c>
      <c r="BJ211" s="31">
        <f>G211*H211</f>
        <v>0</v>
      </c>
      <c r="BK211" s="31"/>
      <c r="BL211" s="31">
        <v>765</v>
      </c>
      <c r="BW211" s="31">
        <v>21</v>
      </c>
    </row>
    <row r="212" spans="1:12" ht="15" customHeight="1">
      <c r="A212" s="60"/>
      <c r="D212" s="61" t="s">
        <v>146</v>
      </c>
      <c r="E212" s="62"/>
      <c r="G212" s="63">
        <v>5</v>
      </c>
      <c r="L212" s="64"/>
    </row>
    <row r="213" spans="1:75" ht="13.5" customHeight="1">
      <c r="A213" s="30" t="s">
        <v>486</v>
      </c>
      <c r="B213" s="3" t="s">
        <v>85</v>
      </c>
      <c r="C213" s="3" t="s">
        <v>487</v>
      </c>
      <c r="D213" s="78" t="s">
        <v>488</v>
      </c>
      <c r="E213" s="78"/>
      <c r="F213" s="3" t="s">
        <v>209</v>
      </c>
      <c r="G213" s="31">
        <v>102.7</v>
      </c>
      <c r="H213" s="31">
        <v>0</v>
      </c>
      <c r="I213" s="31">
        <f>G213*H213</f>
        <v>0</v>
      </c>
      <c r="J213" s="31">
        <v>0.00288</v>
      </c>
      <c r="K213" s="31">
        <f>G213*J213</f>
        <v>0.29577600000000004</v>
      </c>
      <c r="L213" s="59" t="s">
        <v>125</v>
      </c>
      <c r="Z213" s="31">
        <f>IF(AQ213="5",BJ213,0)</f>
        <v>0</v>
      </c>
      <c r="AB213" s="31">
        <f>IF(AQ213="1",BH213,0)</f>
        <v>0</v>
      </c>
      <c r="AC213" s="31">
        <f>IF(AQ213="1",BI213,0)</f>
        <v>0</v>
      </c>
      <c r="AD213" s="31">
        <f>IF(AQ213="7",BH213,0)</f>
        <v>0</v>
      </c>
      <c r="AE213" s="31">
        <f>IF(AQ213="7",BI213,0)</f>
        <v>0</v>
      </c>
      <c r="AF213" s="31">
        <f>IF(AQ213="2",BH213,0)</f>
        <v>0</v>
      </c>
      <c r="AG213" s="31">
        <f>IF(AQ213="2",BI213,0)</f>
        <v>0</v>
      </c>
      <c r="AH213" s="31">
        <f>IF(AQ213="0",BJ213,0)</f>
        <v>0</v>
      </c>
      <c r="AI213" s="42" t="s">
        <v>85</v>
      </c>
      <c r="AJ213" s="31">
        <f>IF(AN213=0,I213,0)</f>
        <v>0</v>
      </c>
      <c r="AK213" s="31">
        <f>IF(AN213=12,I213,0)</f>
        <v>0</v>
      </c>
      <c r="AL213" s="31">
        <f>IF(AN213=21,I213,0)</f>
        <v>0</v>
      </c>
      <c r="AN213" s="31">
        <v>21</v>
      </c>
      <c r="AO213" s="31">
        <f>H213*0.85</f>
        <v>0</v>
      </c>
      <c r="AP213" s="31">
        <f>H213*(1-0.85)</f>
        <v>0</v>
      </c>
      <c r="AQ213" s="32" t="s">
        <v>154</v>
      </c>
      <c r="AV213" s="31">
        <f>AW213+AX213</f>
        <v>0</v>
      </c>
      <c r="AW213" s="31">
        <f>G213*AO213</f>
        <v>0</v>
      </c>
      <c r="AX213" s="31">
        <f>G213*AP213</f>
        <v>0</v>
      </c>
      <c r="AY213" s="32" t="s">
        <v>430</v>
      </c>
      <c r="AZ213" s="32" t="s">
        <v>211</v>
      </c>
      <c r="BA213" s="42" t="s">
        <v>128</v>
      </c>
      <c r="BC213" s="31">
        <f>AW213+AX213</f>
        <v>0</v>
      </c>
      <c r="BD213" s="31">
        <f>H213/(100-BE213)*100</f>
        <v>0</v>
      </c>
      <c r="BE213" s="31">
        <v>0</v>
      </c>
      <c r="BF213" s="31">
        <f>K213</f>
        <v>0.29577600000000004</v>
      </c>
      <c r="BH213" s="31">
        <f>G213*AO213</f>
        <v>0</v>
      </c>
      <c r="BI213" s="31">
        <f>G213*AP213</f>
        <v>0</v>
      </c>
      <c r="BJ213" s="31">
        <f>G213*H213</f>
        <v>0</v>
      </c>
      <c r="BK213" s="31"/>
      <c r="BL213" s="31">
        <v>765</v>
      </c>
      <c r="BW213" s="31">
        <v>21</v>
      </c>
    </row>
    <row r="214" spans="1:12" ht="15" customHeight="1">
      <c r="A214" s="60"/>
      <c r="D214" s="61" t="s">
        <v>490</v>
      </c>
      <c r="E214" s="62"/>
      <c r="G214" s="63">
        <v>102.7</v>
      </c>
      <c r="L214" s="64"/>
    </row>
    <row r="215" spans="1:75" ht="13.5" customHeight="1">
      <c r="A215" s="30" t="s">
        <v>491</v>
      </c>
      <c r="B215" s="3" t="s">
        <v>85</v>
      </c>
      <c r="C215" s="3" t="s">
        <v>492</v>
      </c>
      <c r="D215" s="78" t="s">
        <v>493</v>
      </c>
      <c r="E215" s="78"/>
      <c r="F215" s="3" t="s">
        <v>124</v>
      </c>
      <c r="G215" s="31">
        <v>560.795</v>
      </c>
      <c r="H215" s="31">
        <v>0</v>
      </c>
      <c r="I215" s="31">
        <f>G215*H215</f>
        <v>0</v>
      </c>
      <c r="J215" s="31">
        <v>0</v>
      </c>
      <c r="K215" s="31">
        <f>G215*J215</f>
        <v>0</v>
      </c>
      <c r="L215" s="59" t="s">
        <v>125</v>
      </c>
      <c r="Z215" s="31">
        <f>IF(AQ215="5",BJ215,0)</f>
        <v>0</v>
      </c>
      <c r="AB215" s="31">
        <f>IF(AQ215="1",BH215,0)</f>
        <v>0</v>
      </c>
      <c r="AC215" s="31">
        <f>IF(AQ215="1",BI215,0)</f>
        <v>0</v>
      </c>
      <c r="AD215" s="31">
        <f>IF(AQ215="7",BH215,0)</f>
        <v>0</v>
      </c>
      <c r="AE215" s="31">
        <f>IF(AQ215="7",BI215,0)</f>
        <v>0</v>
      </c>
      <c r="AF215" s="31">
        <f>IF(AQ215="2",BH215,0)</f>
        <v>0</v>
      </c>
      <c r="AG215" s="31">
        <f>IF(AQ215="2",BI215,0)</f>
        <v>0</v>
      </c>
      <c r="AH215" s="31">
        <f>IF(AQ215="0",BJ215,0)</f>
        <v>0</v>
      </c>
      <c r="AI215" s="42" t="s">
        <v>85</v>
      </c>
      <c r="AJ215" s="31">
        <f>IF(AN215=0,I215,0)</f>
        <v>0</v>
      </c>
      <c r="AK215" s="31">
        <f>IF(AN215=12,I215,0)</f>
        <v>0</v>
      </c>
      <c r="AL215" s="31">
        <f>IF(AN215=21,I215,0)</f>
        <v>0</v>
      </c>
      <c r="AN215" s="31">
        <v>21</v>
      </c>
      <c r="AO215" s="31">
        <f>H215*0</f>
        <v>0</v>
      </c>
      <c r="AP215" s="31">
        <f>H215*(1-0)</f>
        <v>0</v>
      </c>
      <c r="AQ215" s="32" t="s">
        <v>154</v>
      </c>
      <c r="AV215" s="31">
        <f>AW215+AX215</f>
        <v>0</v>
      </c>
      <c r="AW215" s="31">
        <f>G215*AO215</f>
        <v>0</v>
      </c>
      <c r="AX215" s="31">
        <f>G215*AP215</f>
        <v>0</v>
      </c>
      <c r="AY215" s="32" t="s">
        <v>430</v>
      </c>
      <c r="AZ215" s="32" t="s">
        <v>211</v>
      </c>
      <c r="BA215" s="42" t="s">
        <v>128</v>
      </c>
      <c r="BC215" s="31">
        <f>AW215+AX215</f>
        <v>0</v>
      </c>
      <c r="BD215" s="31">
        <f>H215/(100-BE215)*100</f>
        <v>0</v>
      </c>
      <c r="BE215" s="31">
        <v>0</v>
      </c>
      <c r="BF215" s="31">
        <f>K215</f>
        <v>0</v>
      </c>
      <c r="BH215" s="31">
        <f>G215*AO215</f>
        <v>0</v>
      </c>
      <c r="BI215" s="31">
        <f>G215*AP215</f>
        <v>0</v>
      </c>
      <c r="BJ215" s="31">
        <f>G215*H215</f>
        <v>0</v>
      </c>
      <c r="BK215" s="31"/>
      <c r="BL215" s="31">
        <v>765</v>
      </c>
      <c r="BW215" s="31">
        <v>21</v>
      </c>
    </row>
    <row r="216" spans="1:12" ht="15" customHeight="1">
      <c r="A216" s="60"/>
      <c r="D216" s="61" t="s">
        <v>494</v>
      </c>
      <c r="E216" s="62"/>
      <c r="G216" s="63">
        <v>543</v>
      </c>
      <c r="L216" s="64"/>
    </row>
    <row r="217" spans="1:12" ht="15" customHeight="1">
      <c r="A217" s="60"/>
      <c r="D217" s="61" t="s">
        <v>495</v>
      </c>
      <c r="E217" s="62"/>
      <c r="G217" s="63">
        <v>17.795</v>
      </c>
      <c r="L217" s="64"/>
    </row>
    <row r="218" spans="1:75" ht="27" customHeight="1">
      <c r="A218" s="30" t="s">
        <v>496</v>
      </c>
      <c r="B218" s="3" t="s">
        <v>85</v>
      </c>
      <c r="C218" s="3" t="s">
        <v>497</v>
      </c>
      <c r="D218" s="78" t="s">
        <v>498</v>
      </c>
      <c r="E218" s="78"/>
      <c r="F218" s="3" t="s">
        <v>124</v>
      </c>
      <c r="G218" s="31">
        <v>616.8745</v>
      </c>
      <c r="H218" s="31">
        <v>0</v>
      </c>
      <c r="I218" s="31">
        <f>G218*H218</f>
        <v>0</v>
      </c>
      <c r="J218" s="31">
        <v>0.00019</v>
      </c>
      <c r="K218" s="31">
        <f>G218*J218</f>
        <v>0.117206155</v>
      </c>
      <c r="L218" s="59" t="s">
        <v>125</v>
      </c>
      <c r="Z218" s="31">
        <f>IF(AQ218="5",BJ218,0)</f>
        <v>0</v>
      </c>
      <c r="AB218" s="31">
        <f>IF(AQ218="1",BH218,0)</f>
        <v>0</v>
      </c>
      <c r="AC218" s="31">
        <f>IF(AQ218="1",BI218,0)</f>
        <v>0</v>
      </c>
      <c r="AD218" s="31">
        <f>IF(AQ218="7",BH218,0)</f>
        <v>0</v>
      </c>
      <c r="AE218" s="31">
        <f>IF(AQ218="7",BI218,0)</f>
        <v>0</v>
      </c>
      <c r="AF218" s="31">
        <f>IF(AQ218="2",BH218,0)</f>
        <v>0</v>
      </c>
      <c r="AG218" s="31">
        <f>IF(AQ218="2",BI218,0)</f>
        <v>0</v>
      </c>
      <c r="AH218" s="31">
        <f>IF(AQ218="0",BJ218,0)</f>
        <v>0</v>
      </c>
      <c r="AI218" s="42" t="s">
        <v>85</v>
      </c>
      <c r="AJ218" s="31">
        <f>IF(AN218=0,I218,0)</f>
        <v>0</v>
      </c>
      <c r="AK218" s="31">
        <f>IF(AN218=12,I218,0)</f>
        <v>0</v>
      </c>
      <c r="AL218" s="31">
        <f>IF(AN218=21,I218,0)</f>
        <v>0</v>
      </c>
      <c r="AN218" s="31">
        <v>21</v>
      </c>
      <c r="AO218" s="31">
        <f>H218*1</f>
        <v>0</v>
      </c>
      <c r="AP218" s="31">
        <f>H218*(1-1)</f>
        <v>0</v>
      </c>
      <c r="AQ218" s="32" t="s">
        <v>154</v>
      </c>
      <c r="AV218" s="31">
        <f>AW218+AX218</f>
        <v>0</v>
      </c>
      <c r="AW218" s="31">
        <f>G218*AO218</f>
        <v>0</v>
      </c>
      <c r="AX218" s="31">
        <f>G218*AP218</f>
        <v>0</v>
      </c>
      <c r="AY218" s="32" t="s">
        <v>430</v>
      </c>
      <c r="AZ218" s="32" t="s">
        <v>211</v>
      </c>
      <c r="BA218" s="42" t="s">
        <v>128</v>
      </c>
      <c r="BC218" s="31">
        <f>AW218+AX218</f>
        <v>0</v>
      </c>
      <c r="BD218" s="31">
        <f>H218/(100-BE218)*100</f>
        <v>0</v>
      </c>
      <c r="BE218" s="31">
        <v>0</v>
      </c>
      <c r="BF218" s="31">
        <f>K218</f>
        <v>0.117206155</v>
      </c>
      <c r="BH218" s="31">
        <f>G218*AO218</f>
        <v>0</v>
      </c>
      <c r="BI218" s="31">
        <f>G218*AP218</f>
        <v>0</v>
      </c>
      <c r="BJ218" s="31">
        <f>G218*H218</f>
        <v>0</v>
      </c>
      <c r="BK218" s="31"/>
      <c r="BL218" s="31">
        <v>765</v>
      </c>
      <c r="BW218" s="31">
        <v>21</v>
      </c>
    </row>
    <row r="219" spans="1:12" ht="15" customHeight="1">
      <c r="A219" s="60"/>
      <c r="D219" s="61" t="s">
        <v>499</v>
      </c>
      <c r="E219" s="62"/>
      <c r="G219" s="63">
        <v>560.7950000000001</v>
      </c>
      <c r="L219" s="64"/>
    </row>
    <row r="220" spans="1:12" ht="15" customHeight="1">
      <c r="A220" s="60"/>
      <c r="D220" s="61" t="s">
        <v>500</v>
      </c>
      <c r="E220" s="62"/>
      <c r="G220" s="63">
        <v>56.0795</v>
      </c>
      <c r="L220" s="64"/>
    </row>
    <row r="221" spans="1:75" ht="13.5" customHeight="1">
      <c r="A221" s="30" t="s">
        <v>501</v>
      </c>
      <c r="B221" s="3" t="s">
        <v>85</v>
      </c>
      <c r="C221" s="3" t="s">
        <v>502</v>
      </c>
      <c r="D221" s="78" t="s">
        <v>503</v>
      </c>
      <c r="E221" s="78"/>
      <c r="F221" s="3" t="s">
        <v>209</v>
      </c>
      <c r="G221" s="31">
        <v>1080</v>
      </c>
      <c r="H221" s="31">
        <v>0</v>
      </c>
      <c r="I221" s="31">
        <f>G221*H221</f>
        <v>0</v>
      </c>
      <c r="J221" s="31">
        <v>0</v>
      </c>
      <c r="K221" s="31">
        <f>G221*J221</f>
        <v>0</v>
      </c>
      <c r="L221" s="59" t="s">
        <v>125</v>
      </c>
      <c r="Z221" s="31">
        <f>IF(AQ221="5",BJ221,0)</f>
        <v>0</v>
      </c>
      <c r="AB221" s="31">
        <f>IF(AQ221="1",BH221,0)</f>
        <v>0</v>
      </c>
      <c r="AC221" s="31">
        <f>IF(AQ221="1",BI221,0)</f>
        <v>0</v>
      </c>
      <c r="AD221" s="31">
        <f>IF(AQ221="7",BH221,0)</f>
        <v>0</v>
      </c>
      <c r="AE221" s="31">
        <f>IF(AQ221="7",BI221,0)</f>
        <v>0</v>
      </c>
      <c r="AF221" s="31">
        <f>IF(AQ221="2",BH221,0)</f>
        <v>0</v>
      </c>
      <c r="AG221" s="31">
        <f>IF(AQ221="2",BI221,0)</f>
        <v>0</v>
      </c>
      <c r="AH221" s="31">
        <f>IF(AQ221="0",BJ221,0)</f>
        <v>0</v>
      </c>
      <c r="AI221" s="42" t="s">
        <v>85</v>
      </c>
      <c r="AJ221" s="31">
        <f>IF(AN221=0,I221,0)</f>
        <v>0</v>
      </c>
      <c r="AK221" s="31">
        <f>IF(AN221=12,I221,0)</f>
        <v>0</v>
      </c>
      <c r="AL221" s="31">
        <f>IF(AN221=21,I221,0)</f>
        <v>0</v>
      </c>
      <c r="AN221" s="31">
        <v>21</v>
      </c>
      <c r="AO221" s="31">
        <f>H221*0.537359550561798</f>
        <v>0</v>
      </c>
      <c r="AP221" s="31">
        <f>H221*(1-0.537359550561798)</f>
        <v>0</v>
      </c>
      <c r="AQ221" s="32" t="s">
        <v>154</v>
      </c>
      <c r="AV221" s="31">
        <f>AW221+AX221</f>
        <v>0</v>
      </c>
      <c r="AW221" s="31">
        <f>G221*AO221</f>
        <v>0</v>
      </c>
      <c r="AX221" s="31">
        <f>G221*AP221</f>
        <v>0</v>
      </c>
      <c r="AY221" s="32" t="s">
        <v>430</v>
      </c>
      <c r="AZ221" s="32" t="s">
        <v>211</v>
      </c>
      <c r="BA221" s="42" t="s">
        <v>128</v>
      </c>
      <c r="BC221" s="31">
        <f>AW221+AX221</f>
        <v>0</v>
      </c>
      <c r="BD221" s="31">
        <f>H221/(100-BE221)*100</f>
        <v>0</v>
      </c>
      <c r="BE221" s="31">
        <v>0</v>
      </c>
      <c r="BF221" s="31">
        <f>K221</f>
        <v>0</v>
      </c>
      <c r="BH221" s="31">
        <f>G221*AO221</f>
        <v>0</v>
      </c>
      <c r="BI221" s="31">
        <f>G221*AP221</f>
        <v>0</v>
      </c>
      <c r="BJ221" s="31">
        <f>G221*H221</f>
        <v>0</v>
      </c>
      <c r="BK221" s="31"/>
      <c r="BL221" s="31">
        <v>765</v>
      </c>
      <c r="BW221" s="31">
        <v>21</v>
      </c>
    </row>
    <row r="222" spans="1:12" ht="15" customHeight="1">
      <c r="A222" s="60"/>
      <c r="D222" s="61" t="s">
        <v>504</v>
      </c>
      <c r="E222" s="62"/>
      <c r="G222" s="63">
        <v>1080</v>
      </c>
      <c r="L222" s="64"/>
    </row>
    <row r="223" spans="1:75" ht="13.5" customHeight="1">
      <c r="A223" s="30" t="s">
        <v>505</v>
      </c>
      <c r="B223" s="3" t="s">
        <v>85</v>
      </c>
      <c r="C223" s="3" t="s">
        <v>506</v>
      </c>
      <c r="D223" s="78" t="s">
        <v>507</v>
      </c>
      <c r="E223" s="78"/>
      <c r="F223" s="3" t="s">
        <v>209</v>
      </c>
      <c r="G223" s="31">
        <v>178</v>
      </c>
      <c r="H223" s="31">
        <v>0</v>
      </c>
      <c r="I223" s="31">
        <f>G223*H223</f>
        <v>0</v>
      </c>
      <c r="J223" s="31">
        <v>0.00051</v>
      </c>
      <c r="K223" s="31">
        <f>G223*J223</f>
        <v>0.09078</v>
      </c>
      <c r="L223" s="59" t="s">
        <v>125</v>
      </c>
      <c r="Z223" s="31">
        <f>IF(AQ223="5",BJ223,0)</f>
        <v>0</v>
      </c>
      <c r="AB223" s="31">
        <f>IF(AQ223="1",BH223,0)</f>
        <v>0</v>
      </c>
      <c r="AC223" s="31">
        <f>IF(AQ223="1",BI223,0)</f>
        <v>0</v>
      </c>
      <c r="AD223" s="31">
        <f>IF(AQ223="7",BH223,0)</f>
        <v>0</v>
      </c>
      <c r="AE223" s="31">
        <f>IF(AQ223="7",BI223,0)</f>
        <v>0</v>
      </c>
      <c r="AF223" s="31">
        <f>IF(AQ223="2",BH223,0)</f>
        <v>0</v>
      </c>
      <c r="AG223" s="31">
        <f>IF(AQ223="2",BI223,0)</f>
        <v>0</v>
      </c>
      <c r="AH223" s="31">
        <f>IF(AQ223="0",BJ223,0)</f>
        <v>0</v>
      </c>
      <c r="AI223" s="42" t="s">
        <v>85</v>
      </c>
      <c r="AJ223" s="31">
        <f>IF(AN223=0,I223,0)</f>
        <v>0</v>
      </c>
      <c r="AK223" s="31">
        <f>IF(AN223=12,I223,0)</f>
        <v>0</v>
      </c>
      <c r="AL223" s="31">
        <f>IF(AN223=21,I223,0)</f>
        <v>0</v>
      </c>
      <c r="AN223" s="31">
        <v>21</v>
      </c>
      <c r="AO223" s="31">
        <f>H223*0.698018018018018</f>
        <v>0</v>
      </c>
      <c r="AP223" s="31">
        <f>H223*(1-0.698018018018018)</f>
        <v>0</v>
      </c>
      <c r="AQ223" s="32" t="s">
        <v>154</v>
      </c>
      <c r="AV223" s="31">
        <f>AW223+AX223</f>
        <v>0</v>
      </c>
      <c r="AW223" s="31">
        <f>G223*AO223</f>
        <v>0</v>
      </c>
      <c r="AX223" s="31">
        <f>G223*AP223</f>
        <v>0</v>
      </c>
      <c r="AY223" s="32" t="s">
        <v>430</v>
      </c>
      <c r="AZ223" s="32" t="s">
        <v>211</v>
      </c>
      <c r="BA223" s="42" t="s">
        <v>128</v>
      </c>
      <c r="BC223" s="31">
        <f>AW223+AX223</f>
        <v>0</v>
      </c>
      <c r="BD223" s="31">
        <f>H223/(100-BE223)*100</f>
        <v>0</v>
      </c>
      <c r="BE223" s="31">
        <v>0</v>
      </c>
      <c r="BF223" s="31">
        <f>K223</f>
        <v>0.09078</v>
      </c>
      <c r="BH223" s="31">
        <f>G223*AO223</f>
        <v>0</v>
      </c>
      <c r="BI223" s="31">
        <f>G223*AP223</f>
        <v>0</v>
      </c>
      <c r="BJ223" s="31">
        <f>G223*H223</f>
        <v>0</v>
      </c>
      <c r="BK223" s="31"/>
      <c r="BL223" s="31">
        <v>765</v>
      </c>
      <c r="BW223" s="31">
        <v>21</v>
      </c>
    </row>
    <row r="224" spans="1:12" ht="15" customHeight="1">
      <c r="A224" s="60"/>
      <c r="D224" s="61" t="s">
        <v>508</v>
      </c>
      <c r="E224" s="62"/>
      <c r="G224" s="63">
        <v>178.00000000000003</v>
      </c>
      <c r="L224" s="64"/>
    </row>
    <row r="225" spans="1:75" ht="13.5" customHeight="1">
      <c r="A225" s="30" t="s">
        <v>509</v>
      </c>
      <c r="B225" s="3" t="s">
        <v>85</v>
      </c>
      <c r="C225" s="3" t="s">
        <v>510</v>
      </c>
      <c r="D225" s="78" t="s">
        <v>511</v>
      </c>
      <c r="E225" s="78"/>
      <c r="F225" s="3" t="s">
        <v>124</v>
      </c>
      <c r="G225" s="31">
        <v>18.9</v>
      </c>
      <c r="H225" s="31">
        <v>0</v>
      </c>
      <c r="I225" s="31">
        <f>G225*H225</f>
        <v>0</v>
      </c>
      <c r="J225" s="31">
        <v>0.07331</v>
      </c>
      <c r="K225" s="31">
        <f>G225*J225</f>
        <v>1.385559</v>
      </c>
      <c r="L225" s="59" t="s">
        <v>125</v>
      </c>
      <c r="Z225" s="31">
        <f>IF(AQ225="5",BJ225,0)</f>
        <v>0</v>
      </c>
      <c r="AB225" s="31">
        <f>IF(AQ225="1",BH225,0)</f>
        <v>0</v>
      </c>
      <c r="AC225" s="31">
        <f>IF(AQ225="1",BI225,0)</f>
        <v>0</v>
      </c>
      <c r="AD225" s="31">
        <f>IF(AQ225="7",BH225,0)</f>
        <v>0</v>
      </c>
      <c r="AE225" s="31">
        <f>IF(AQ225="7",BI225,0)</f>
        <v>0</v>
      </c>
      <c r="AF225" s="31">
        <f>IF(AQ225="2",BH225,0)</f>
        <v>0</v>
      </c>
      <c r="AG225" s="31">
        <f>IF(AQ225="2",BI225,0)</f>
        <v>0</v>
      </c>
      <c r="AH225" s="31">
        <f>IF(AQ225="0",BJ225,0)</f>
        <v>0</v>
      </c>
      <c r="AI225" s="42" t="s">
        <v>85</v>
      </c>
      <c r="AJ225" s="31">
        <f>IF(AN225=0,I225,0)</f>
        <v>0</v>
      </c>
      <c r="AK225" s="31">
        <f>IF(AN225=12,I225,0)</f>
        <v>0</v>
      </c>
      <c r="AL225" s="31">
        <f>IF(AN225=21,I225,0)</f>
        <v>0</v>
      </c>
      <c r="AN225" s="31">
        <v>21</v>
      </c>
      <c r="AO225" s="31">
        <f>H225*0.308574585635359</f>
        <v>0</v>
      </c>
      <c r="AP225" s="31">
        <f>H225*(1-0.308574585635359)</f>
        <v>0</v>
      </c>
      <c r="AQ225" s="32" t="s">
        <v>154</v>
      </c>
      <c r="AV225" s="31">
        <f>AW225+AX225</f>
        <v>0</v>
      </c>
      <c r="AW225" s="31">
        <f>G225*AO225</f>
        <v>0</v>
      </c>
      <c r="AX225" s="31">
        <f>G225*AP225</f>
        <v>0</v>
      </c>
      <c r="AY225" s="32" t="s">
        <v>430</v>
      </c>
      <c r="AZ225" s="32" t="s">
        <v>211</v>
      </c>
      <c r="BA225" s="42" t="s">
        <v>128</v>
      </c>
      <c r="BC225" s="31">
        <f>AW225+AX225</f>
        <v>0</v>
      </c>
      <c r="BD225" s="31">
        <f>H225/(100-BE225)*100</f>
        <v>0</v>
      </c>
      <c r="BE225" s="31">
        <v>0</v>
      </c>
      <c r="BF225" s="31">
        <f>K225</f>
        <v>1.385559</v>
      </c>
      <c r="BH225" s="31">
        <f>G225*AO225</f>
        <v>0</v>
      </c>
      <c r="BI225" s="31">
        <f>G225*AP225</f>
        <v>0</v>
      </c>
      <c r="BJ225" s="31">
        <f>G225*H225</f>
        <v>0</v>
      </c>
      <c r="BK225" s="31"/>
      <c r="BL225" s="31">
        <v>765</v>
      </c>
      <c r="BW225" s="31">
        <v>21</v>
      </c>
    </row>
    <row r="226" spans="1:12" ht="15" customHeight="1">
      <c r="A226" s="60"/>
      <c r="D226" s="61" t="s">
        <v>512</v>
      </c>
      <c r="E226" s="62"/>
      <c r="G226" s="63">
        <v>18.900000000000002</v>
      </c>
      <c r="L226" s="64"/>
    </row>
    <row r="227" spans="1:75" ht="13.5" customHeight="1">
      <c r="A227" s="30" t="s">
        <v>513</v>
      </c>
      <c r="B227" s="3" t="s">
        <v>85</v>
      </c>
      <c r="C227" s="3" t="s">
        <v>514</v>
      </c>
      <c r="D227" s="78" t="s">
        <v>515</v>
      </c>
      <c r="E227" s="78"/>
      <c r="F227" s="3" t="s">
        <v>209</v>
      </c>
      <c r="G227" s="31">
        <v>8</v>
      </c>
      <c r="H227" s="31">
        <v>0</v>
      </c>
      <c r="I227" s="31">
        <f>G227*H227</f>
        <v>0</v>
      </c>
      <c r="J227" s="31">
        <v>0.0048</v>
      </c>
      <c r="K227" s="31">
        <f>G227*J227</f>
        <v>0.0384</v>
      </c>
      <c r="L227" s="59" t="s">
        <v>125</v>
      </c>
      <c r="Z227" s="31">
        <f>IF(AQ227="5",BJ227,0)</f>
        <v>0</v>
      </c>
      <c r="AB227" s="31">
        <f>IF(AQ227="1",BH227,0)</f>
        <v>0</v>
      </c>
      <c r="AC227" s="31">
        <f>IF(AQ227="1",BI227,0)</f>
        <v>0</v>
      </c>
      <c r="AD227" s="31">
        <f>IF(AQ227="7",BH227,0)</f>
        <v>0</v>
      </c>
      <c r="AE227" s="31">
        <f>IF(AQ227="7",BI227,0)</f>
        <v>0</v>
      </c>
      <c r="AF227" s="31">
        <f>IF(AQ227="2",BH227,0)</f>
        <v>0</v>
      </c>
      <c r="AG227" s="31">
        <f>IF(AQ227="2",BI227,0)</f>
        <v>0</v>
      </c>
      <c r="AH227" s="31">
        <f>IF(AQ227="0",BJ227,0)</f>
        <v>0</v>
      </c>
      <c r="AI227" s="42" t="s">
        <v>85</v>
      </c>
      <c r="AJ227" s="31">
        <f>IF(AN227=0,I227,0)</f>
        <v>0</v>
      </c>
      <c r="AK227" s="31">
        <f>IF(AN227=12,I227,0)</f>
        <v>0</v>
      </c>
      <c r="AL227" s="31">
        <f>IF(AN227=21,I227,0)</f>
        <v>0</v>
      </c>
      <c r="AN227" s="31">
        <v>21</v>
      </c>
      <c r="AO227" s="31">
        <f>H227*0.774796581196581</f>
        <v>0</v>
      </c>
      <c r="AP227" s="31">
        <f>H227*(1-0.774796581196581)</f>
        <v>0</v>
      </c>
      <c r="AQ227" s="32" t="s">
        <v>154</v>
      </c>
      <c r="AV227" s="31">
        <f>AW227+AX227</f>
        <v>0</v>
      </c>
      <c r="AW227" s="31">
        <f>G227*AO227</f>
        <v>0</v>
      </c>
      <c r="AX227" s="31">
        <f>G227*AP227</f>
        <v>0</v>
      </c>
      <c r="AY227" s="32" t="s">
        <v>430</v>
      </c>
      <c r="AZ227" s="32" t="s">
        <v>211</v>
      </c>
      <c r="BA227" s="42" t="s">
        <v>128</v>
      </c>
      <c r="BC227" s="31">
        <f>AW227+AX227</f>
        <v>0</v>
      </c>
      <c r="BD227" s="31">
        <f>H227/(100-BE227)*100</f>
        <v>0</v>
      </c>
      <c r="BE227" s="31">
        <v>0</v>
      </c>
      <c r="BF227" s="31">
        <f>K227</f>
        <v>0.0384</v>
      </c>
      <c r="BH227" s="31">
        <f>G227*AO227</f>
        <v>0</v>
      </c>
      <c r="BI227" s="31">
        <f>G227*AP227</f>
        <v>0</v>
      </c>
      <c r="BJ227" s="31">
        <f>G227*H227</f>
        <v>0</v>
      </c>
      <c r="BK227" s="31"/>
      <c r="BL227" s="31">
        <v>765</v>
      </c>
      <c r="BW227" s="31">
        <v>21</v>
      </c>
    </row>
    <row r="228" spans="1:12" ht="15" customHeight="1">
      <c r="A228" s="60"/>
      <c r="D228" s="61" t="s">
        <v>160</v>
      </c>
      <c r="E228" s="62"/>
      <c r="G228" s="63">
        <v>8</v>
      </c>
      <c r="L228" s="64"/>
    </row>
    <row r="229" spans="1:75" ht="13.5" customHeight="1">
      <c r="A229" s="30" t="s">
        <v>516</v>
      </c>
      <c r="B229" s="3" t="s">
        <v>85</v>
      </c>
      <c r="C229" s="3" t="s">
        <v>517</v>
      </c>
      <c r="D229" s="78" t="s">
        <v>518</v>
      </c>
      <c r="E229" s="78"/>
      <c r="F229" s="3" t="s">
        <v>61</v>
      </c>
      <c r="G229" s="31">
        <v>3000</v>
      </c>
      <c r="H229" s="31">
        <v>0</v>
      </c>
      <c r="I229" s="31">
        <f>G229*H229</f>
        <v>0</v>
      </c>
      <c r="J229" s="31">
        <v>0</v>
      </c>
      <c r="K229" s="31">
        <f>G229*J229</f>
        <v>0</v>
      </c>
      <c r="L229" s="59" t="s">
        <v>125</v>
      </c>
      <c r="Z229" s="31">
        <f>IF(AQ229="5",BJ229,0)</f>
        <v>0</v>
      </c>
      <c r="AB229" s="31">
        <f>IF(AQ229="1",BH229,0)</f>
        <v>0</v>
      </c>
      <c r="AC229" s="31">
        <f>IF(AQ229="1",BI229,0)</f>
        <v>0</v>
      </c>
      <c r="AD229" s="31">
        <f>IF(AQ229="7",BH229,0)</f>
        <v>0</v>
      </c>
      <c r="AE229" s="31">
        <f>IF(AQ229="7",BI229,0)</f>
        <v>0</v>
      </c>
      <c r="AF229" s="31">
        <f>IF(AQ229="2",BH229,0)</f>
        <v>0</v>
      </c>
      <c r="AG229" s="31">
        <f>IF(AQ229="2",BI229,0)</f>
        <v>0</v>
      </c>
      <c r="AH229" s="31">
        <f>IF(AQ229="0",BJ229,0)</f>
        <v>0</v>
      </c>
      <c r="AI229" s="42" t="s">
        <v>85</v>
      </c>
      <c r="AJ229" s="31">
        <f>IF(AN229=0,I229,0)</f>
        <v>0</v>
      </c>
      <c r="AK229" s="31">
        <f>IF(AN229=12,I229,0)</f>
        <v>0</v>
      </c>
      <c r="AL229" s="31">
        <f>IF(AN229=21,I229,0)</f>
        <v>0</v>
      </c>
      <c r="AN229" s="31">
        <v>21</v>
      </c>
      <c r="AO229" s="31">
        <f>H229*0</f>
        <v>0</v>
      </c>
      <c r="AP229" s="31">
        <f>H229*(1-0)</f>
        <v>0</v>
      </c>
      <c r="AQ229" s="32" t="s">
        <v>146</v>
      </c>
      <c r="AV229" s="31">
        <f>AW229+AX229</f>
        <v>0</v>
      </c>
      <c r="AW229" s="31">
        <f>G229*AO229</f>
        <v>0</v>
      </c>
      <c r="AX229" s="31">
        <f>G229*AP229</f>
        <v>0</v>
      </c>
      <c r="AY229" s="32" t="s">
        <v>430</v>
      </c>
      <c r="AZ229" s="32" t="s">
        <v>211</v>
      </c>
      <c r="BA229" s="42" t="s">
        <v>128</v>
      </c>
      <c r="BC229" s="31">
        <f>AW229+AX229</f>
        <v>0</v>
      </c>
      <c r="BD229" s="31">
        <f>H229/(100-BE229)*100</f>
        <v>0</v>
      </c>
      <c r="BE229" s="31">
        <v>0</v>
      </c>
      <c r="BF229" s="31">
        <f>K229</f>
        <v>0</v>
      </c>
      <c r="BH229" s="31">
        <f>G229*AO229</f>
        <v>0</v>
      </c>
      <c r="BI229" s="31">
        <f>G229*AP229</f>
        <v>0</v>
      </c>
      <c r="BJ229" s="31">
        <f>G229*H229</f>
        <v>0</v>
      </c>
      <c r="BK229" s="31"/>
      <c r="BL229" s="31">
        <v>765</v>
      </c>
      <c r="BW229" s="31">
        <v>21</v>
      </c>
    </row>
    <row r="230" spans="1:12" ht="15" customHeight="1">
      <c r="A230" s="60"/>
      <c r="D230" s="61" t="s">
        <v>519</v>
      </c>
      <c r="E230" s="62"/>
      <c r="G230" s="63">
        <v>3000.0000000000005</v>
      </c>
      <c r="L230" s="64"/>
    </row>
    <row r="231" spans="1:47" ht="15" customHeight="1">
      <c r="A231" s="55"/>
      <c r="B231" s="56" t="s">
        <v>85</v>
      </c>
      <c r="C231" s="56" t="s">
        <v>520</v>
      </c>
      <c r="D231" s="122" t="s">
        <v>521</v>
      </c>
      <c r="E231" s="122"/>
      <c r="F231" s="57" t="s">
        <v>79</v>
      </c>
      <c r="G231" s="57" t="s">
        <v>79</v>
      </c>
      <c r="H231" s="57" t="s">
        <v>79</v>
      </c>
      <c r="I231" s="36">
        <f>SUM(I232:I239)</f>
        <v>0</v>
      </c>
      <c r="J231" s="42"/>
      <c r="K231" s="36">
        <f>SUM(K232:K239)</f>
        <v>0.548424</v>
      </c>
      <c r="L231" s="58"/>
      <c r="AI231" s="42" t="s">
        <v>85</v>
      </c>
      <c r="AS231" s="36">
        <f>SUM(AJ232:AJ239)</f>
        <v>0</v>
      </c>
      <c r="AT231" s="36">
        <f>SUM(AK232:AK239)</f>
        <v>0</v>
      </c>
      <c r="AU231" s="36">
        <f>SUM(AL232:AL239)</f>
        <v>0</v>
      </c>
    </row>
    <row r="232" spans="1:75" ht="13.5" customHeight="1">
      <c r="A232" s="30" t="s">
        <v>522</v>
      </c>
      <c r="B232" s="3" t="s">
        <v>85</v>
      </c>
      <c r="C232" s="3" t="s">
        <v>523</v>
      </c>
      <c r="D232" s="78" t="s">
        <v>524</v>
      </c>
      <c r="E232" s="78"/>
      <c r="F232" s="3" t="s">
        <v>209</v>
      </c>
      <c r="G232" s="31">
        <v>282</v>
      </c>
      <c r="H232" s="31">
        <v>0</v>
      </c>
      <c r="I232" s="31">
        <f>G232*H232</f>
        <v>0</v>
      </c>
      <c r="J232" s="31">
        <v>0.00028</v>
      </c>
      <c r="K232" s="31">
        <f>G232*J232</f>
        <v>0.07895999999999999</v>
      </c>
      <c r="L232" s="59" t="s">
        <v>125</v>
      </c>
      <c r="Z232" s="31">
        <f>IF(AQ232="5",BJ232,0)</f>
        <v>0</v>
      </c>
      <c r="AB232" s="31">
        <f>IF(AQ232="1",BH232,0)</f>
        <v>0</v>
      </c>
      <c r="AC232" s="31">
        <f>IF(AQ232="1",BI232,0)</f>
        <v>0</v>
      </c>
      <c r="AD232" s="31">
        <f>IF(AQ232="7",BH232,0)</f>
        <v>0</v>
      </c>
      <c r="AE232" s="31">
        <f>IF(AQ232="7",BI232,0)</f>
        <v>0</v>
      </c>
      <c r="AF232" s="31">
        <f>IF(AQ232="2",BH232,0)</f>
        <v>0</v>
      </c>
      <c r="AG232" s="31">
        <f>IF(AQ232="2",BI232,0)</f>
        <v>0</v>
      </c>
      <c r="AH232" s="31">
        <f>IF(AQ232="0",BJ232,0)</f>
        <v>0</v>
      </c>
      <c r="AI232" s="42" t="s">
        <v>85</v>
      </c>
      <c r="AJ232" s="31">
        <f>IF(AN232=0,I232,0)</f>
        <v>0</v>
      </c>
      <c r="AK232" s="31">
        <f>IF(AN232=12,I232,0)</f>
        <v>0</v>
      </c>
      <c r="AL232" s="31">
        <f>IF(AN232=21,I232,0)</f>
        <v>0</v>
      </c>
      <c r="AN232" s="31">
        <v>21</v>
      </c>
      <c r="AO232" s="31">
        <f>H232*0.143896103896104</f>
        <v>0</v>
      </c>
      <c r="AP232" s="31">
        <f>H232*(1-0.143896103896104)</f>
        <v>0</v>
      </c>
      <c r="AQ232" s="32" t="s">
        <v>154</v>
      </c>
      <c r="AV232" s="31">
        <f>AW232+AX232</f>
        <v>0</v>
      </c>
      <c r="AW232" s="31">
        <f>G232*AO232</f>
        <v>0</v>
      </c>
      <c r="AX232" s="31">
        <f>G232*AP232</f>
        <v>0</v>
      </c>
      <c r="AY232" s="32" t="s">
        <v>525</v>
      </c>
      <c r="AZ232" s="32" t="s">
        <v>211</v>
      </c>
      <c r="BA232" s="42" t="s">
        <v>128</v>
      </c>
      <c r="BC232" s="31">
        <f>AW232+AX232</f>
        <v>0</v>
      </c>
      <c r="BD232" s="31">
        <f>H232/(100-BE232)*100</f>
        <v>0</v>
      </c>
      <c r="BE232" s="31">
        <v>0</v>
      </c>
      <c r="BF232" s="31">
        <f>K232</f>
        <v>0.07895999999999999</v>
      </c>
      <c r="BH232" s="31">
        <f>G232*AO232</f>
        <v>0</v>
      </c>
      <c r="BI232" s="31">
        <f>G232*AP232</f>
        <v>0</v>
      </c>
      <c r="BJ232" s="31">
        <f>G232*H232</f>
        <v>0</v>
      </c>
      <c r="BK232" s="31"/>
      <c r="BL232" s="31">
        <v>766</v>
      </c>
      <c r="BW232" s="31">
        <v>21</v>
      </c>
    </row>
    <row r="233" spans="1:12" ht="15" customHeight="1">
      <c r="A233" s="60"/>
      <c r="D233" s="61" t="s">
        <v>527</v>
      </c>
      <c r="E233" s="62"/>
      <c r="G233" s="63">
        <v>282</v>
      </c>
      <c r="L233" s="64"/>
    </row>
    <row r="234" spans="1:75" ht="13.5" customHeight="1">
      <c r="A234" s="30" t="s">
        <v>528</v>
      </c>
      <c r="B234" s="3" t="s">
        <v>85</v>
      </c>
      <c r="C234" s="3" t="s">
        <v>529</v>
      </c>
      <c r="D234" s="78" t="s">
        <v>530</v>
      </c>
      <c r="E234" s="78"/>
      <c r="F234" s="3" t="s">
        <v>209</v>
      </c>
      <c r="G234" s="31">
        <v>310.2</v>
      </c>
      <c r="H234" s="31">
        <v>0</v>
      </c>
      <c r="I234" s="31">
        <f>G234*H234</f>
        <v>0</v>
      </c>
      <c r="J234" s="31">
        <v>0.00132</v>
      </c>
      <c r="K234" s="31">
        <f>G234*J234</f>
        <v>0.409464</v>
      </c>
      <c r="L234" s="59" t="s">
        <v>125</v>
      </c>
      <c r="Z234" s="31">
        <f>IF(AQ234="5",BJ234,0)</f>
        <v>0</v>
      </c>
      <c r="AB234" s="31">
        <f>IF(AQ234="1",BH234,0)</f>
        <v>0</v>
      </c>
      <c r="AC234" s="31">
        <f>IF(AQ234="1",BI234,0)</f>
        <v>0</v>
      </c>
      <c r="AD234" s="31">
        <f>IF(AQ234="7",BH234,0)</f>
        <v>0</v>
      </c>
      <c r="AE234" s="31">
        <f>IF(AQ234="7",BI234,0)</f>
        <v>0</v>
      </c>
      <c r="AF234" s="31">
        <f>IF(AQ234="2",BH234,0)</f>
        <v>0</v>
      </c>
      <c r="AG234" s="31">
        <f>IF(AQ234="2",BI234,0)</f>
        <v>0</v>
      </c>
      <c r="AH234" s="31">
        <f>IF(AQ234="0",BJ234,0)</f>
        <v>0</v>
      </c>
      <c r="AI234" s="42" t="s">
        <v>85</v>
      </c>
      <c r="AJ234" s="31">
        <f>IF(AN234=0,I234,0)</f>
        <v>0</v>
      </c>
      <c r="AK234" s="31">
        <f>IF(AN234=12,I234,0)</f>
        <v>0</v>
      </c>
      <c r="AL234" s="31">
        <f>IF(AN234=21,I234,0)</f>
        <v>0</v>
      </c>
      <c r="AN234" s="31">
        <v>21</v>
      </c>
      <c r="AO234" s="31">
        <f>H234*1</f>
        <v>0</v>
      </c>
      <c r="AP234" s="31">
        <f>H234*(1-1)</f>
        <v>0</v>
      </c>
      <c r="AQ234" s="32" t="s">
        <v>154</v>
      </c>
      <c r="AV234" s="31">
        <f>AW234+AX234</f>
        <v>0</v>
      </c>
      <c r="AW234" s="31">
        <f>G234*AO234</f>
        <v>0</v>
      </c>
      <c r="AX234" s="31">
        <f>G234*AP234</f>
        <v>0</v>
      </c>
      <c r="AY234" s="32" t="s">
        <v>525</v>
      </c>
      <c r="AZ234" s="32" t="s">
        <v>211</v>
      </c>
      <c r="BA234" s="42" t="s">
        <v>128</v>
      </c>
      <c r="BC234" s="31">
        <f>AW234+AX234</f>
        <v>0</v>
      </c>
      <c r="BD234" s="31">
        <f>H234/(100-BE234)*100</f>
        <v>0</v>
      </c>
      <c r="BE234" s="31">
        <v>0</v>
      </c>
      <c r="BF234" s="31">
        <f>K234</f>
        <v>0.409464</v>
      </c>
      <c r="BH234" s="31">
        <f>G234*AO234</f>
        <v>0</v>
      </c>
      <c r="BI234" s="31">
        <f>G234*AP234</f>
        <v>0</v>
      </c>
      <c r="BJ234" s="31">
        <f>G234*H234</f>
        <v>0</v>
      </c>
      <c r="BK234" s="31"/>
      <c r="BL234" s="31">
        <v>766</v>
      </c>
      <c r="BW234" s="31">
        <v>21</v>
      </c>
    </row>
    <row r="235" spans="1:12" ht="15" customHeight="1">
      <c r="A235" s="60"/>
      <c r="D235" s="61" t="s">
        <v>531</v>
      </c>
      <c r="E235" s="62"/>
      <c r="G235" s="63">
        <v>282</v>
      </c>
      <c r="L235" s="64"/>
    </row>
    <row r="236" spans="1:12" ht="15" customHeight="1">
      <c r="A236" s="60"/>
      <c r="D236" s="61" t="s">
        <v>532</v>
      </c>
      <c r="E236" s="62"/>
      <c r="G236" s="63">
        <v>28.200000000000003</v>
      </c>
      <c r="L236" s="64"/>
    </row>
    <row r="237" spans="1:75" ht="13.5" customHeight="1">
      <c r="A237" s="30" t="s">
        <v>533</v>
      </c>
      <c r="B237" s="3" t="s">
        <v>85</v>
      </c>
      <c r="C237" s="3" t="s">
        <v>534</v>
      </c>
      <c r="D237" s="78" t="s">
        <v>535</v>
      </c>
      <c r="E237" s="78"/>
      <c r="F237" s="3" t="s">
        <v>449</v>
      </c>
      <c r="G237" s="31">
        <v>3</v>
      </c>
      <c r="H237" s="31">
        <v>0</v>
      </c>
      <c r="I237" s="31">
        <f>G237*H237</f>
        <v>0</v>
      </c>
      <c r="J237" s="31">
        <v>0.02</v>
      </c>
      <c r="K237" s="31">
        <f>G237*J237</f>
        <v>0.06</v>
      </c>
      <c r="L237" s="59"/>
      <c r="Z237" s="31">
        <f>IF(AQ237="5",BJ237,0)</f>
        <v>0</v>
      </c>
      <c r="AB237" s="31">
        <f>IF(AQ237="1",BH237,0)</f>
        <v>0</v>
      </c>
      <c r="AC237" s="31">
        <f>IF(AQ237="1",BI237,0)</f>
        <v>0</v>
      </c>
      <c r="AD237" s="31">
        <f>IF(AQ237="7",BH237,0)</f>
        <v>0</v>
      </c>
      <c r="AE237" s="31">
        <f>IF(AQ237="7",BI237,0)</f>
        <v>0</v>
      </c>
      <c r="AF237" s="31">
        <f>IF(AQ237="2",BH237,0)</f>
        <v>0</v>
      </c>
      <c r="AG237" s="31">
        <f>IF(AQ237="2",BI237,0)</f>
        <v>0</v>
      </c>
      <c r="AH237" s="31">
        <f>IF(AQ237="0",BJ237,0)</f>
        <v>0</v>
      </c>
      <c r="AI237" s="42" t="s">
        <v>85</v>
      </c>
      <c r="AJ237" s="31">
        <f>IF(AN237=0,I237,0)</f>
        <v>0</v>
      </c>
      <c r="AK237" s="31">
        <f>IF(AN237=12,I237,0)</f>
        <v>0</v>
      </c>
      <c r="AL237" s="31">
        <f>IF(AN237=21,I237,0)</f>
        <v>0</v>
      </c>
      <c r="AN237" s="31">
        <v>21</v>
      </c>
      <c r="AO237" s="31">
        <f>H237*0.948905557936848</f>
        <v>0</v>
      </c>
      <c r="AP237" s="31">
        <f>H237*(1-0.948905557936848)</f>
        <v>0</v>
      </c>
      <c r="AQ237" s="32" t="s">
        <v>154</v>
      </c>
      <c r="AV237" s="31">
        <f>AW237+AX237</f>
        <v>0</v>
      </c>
      <c r="AW237" s="31">
        <f>G237*AO237</f>
        <v>0</v>
      </c>
      <c r="AX237" s="31">
        <f>G237*AP237</f>
        <v>0</v>
      </c>
      <c r="AY237" s="32" t="s">
        <v>525</v>
      </c>
      <c r="AZ237" s="32" t="s">
        <v>211</v>
      </c>
      <c r="BA237" s="42" t="s">
        <v>128</v>
      </c>
      <c r="BC237" s="31">
        <f>AW237+AX237</f>
        <v>0</v>
      </c>
      <c r="BD237" s="31">
        <f>H237/(100-BE237)*100</f>
        <v>0</v>
      </c>
      <c r="BE237" s="31">
        <v>0</v>
      </c>
      <c r="BF237" s="31">
        <f>K237</f>
        <v>0.06</v>
      </c>
      <c r="BH237" s="31">
        <f>G237*AO237</f>
        <v>0</v>
      </c>
      <c r="BI237" s="31">
        <f>G237*AP237</f>
        <v>0</v>
      </c>
      <c r="BJ237" s="31">
        <f>G237*H237</f>
        <v>0</v>
      </c>
      <c r="BK237" s="31"/>
      <c r="BL237" s="31">
        <v>766</v>
      </c>
      <c r="BW237" s="31">
        <v>21</v>
      </c>
    </row>
    <row r="238" spans="1:12" ht="15" customHeight="1">
      <c r="A238" s="60"/>
      <c r="D238" s="61" t="s">
        <v>537</v>
      </c>
      <c r="E238" s="62"/>
      <c r="G238" s="63">
        <v>3.0000000000000004</v>
      </c>
      <c r="L238" s="64"/>
    </row>
    <row r="239" spans="1:75" ht="13.5" customHeight="1">
      <c r="A239" s="30" t="s">
        <v>538</v>
      </c>
      <c r="B239" s="3" t="s">
        <v>85</v>
      </c>
      <c r="C239" s="3" t="s">
        <v>539</v>
      </c>
      <c r="D239" s="78" t="s">
        <v>540</v>
      </c>
      <c r="E239" s="78"/>
      <c r="F239" s="3" t="s">
        <v>61</v>
      </c>
      <c r="G239" s="31">
        <v>1000</v>
      </c>
      <c r="H239" s="31">
        <v>0</v>
      </c>
      <c r="I239" s="31">
        <f>G239*H239</f>
        <v>0</v>
      </c>
      <c r="J239" s="31">
        <v>0</v>
      </c>
      <c r="K239" s="31">
        <f>G239*J239</f>
        <v>0</v>
      </c>
      <c r="L239" s="59" t="s">
        <v>125</v>
      </c>
      <c r="Z239" s="31">
        <f>IF(AQ239="5",BJ239,0)</f>
        <v>0</v>
      </c>
      <c r="AB239" s="31">
        <f>IF(AQ239="1",BH239,0)</f>
        <v>0</v>
      </c>
      <c r="AC239" s="31">
        <f>IF(AQ239="1",BI239,0)</f>
        <v>0</v>
      </c>
      <c r="AD239" s="31">
        <f>IF(AQ239="7",BH239,0)</f>
        <v>0</v>
      </c>
      <c r="AE239" s="31">
        <f>IF(AQ239="7",BI239,0)</f>
        <v>0</v>
      </c>
      <c r="AF239" s="31">
        <f>IF(AQ239="2",BH239,0)</f>
        <v>0</v>
      </c>
      <c r="AG239" s="31">
        <f>IF(AQ239="2",BI239,0)</f>
        <v>0</v>
      </c>
      <c r="AH239" s="31">
        <f>IF(AQ239="0",BJ239,0)</f>
        <v>0</v>
      </c>
      <c r="AI239" s="42" t="s">
        <v>85</v>
      </c>
      <c r="AJ239" s="31">
        <f>IF(AN239=0,I239,0)</f>
        <v>0</v>
      </c>
      <c r="AK239" s="31">
        <f>IF(AN239=12,I239,0)</f>
        <v>0</v>
      </c>
      <c r="AL239" s="31">
        <f>IF(AN239=21,I239,0)</f>
        <v>0</v>
      </c>
      <c r="AN239" s="31">
        <v>21</v>
      </c>
      <c r="AO239" s="31">
        <f>H239*0</f>
        <v>0</v>
      </c>
      <c r="AP239" s="31">
        <f>H239*(1-0)</f>
        <v>0</v>
      </c>
      <c r="AQ239" s="32" t="s">
        <v>146</v>
      </c>
      <c r="AV239" s="31">
        <f>AW239+AX239</f>
        <v>0</v>
      </c>
      <c r="AW239" s="31">
        <f>G239*AO239</f>
        <v>0</v>
      </c>
      <c r="AX239" s="31">
        <f>G239*AP239</f>
        <v>0</v>
      </c>
      <c r="AY239" s="32" t="s">
        <v>525</v>
      </c>
      <c r="AZ239" s="32" t="s">
        <v>211</v>
      </c>
      <c r="BA239" s="42" t="s">
        <v>128</v>
      </c>
      <c r="BC239" s="31">
        <f>AW239+AX239</f>
        <v>0</v>
      </c>
      <c r="BD239" s="31">
        <f>H239/(100-BE239)*100</f>
        <v>0</v>
      </c>
      <c r="BE239" s="31">
        <v>0</v>
      </c>
      <c r="BF239" s="31">
        <f>K239</f>
        <v>0</v>
      </c>
      <c r="BH239" s="31">
        <f>G239*AO239</f>
        <v>0</v>
      </c>
      <c r="BI239" s="31">
        <f>G239*AP239</f>
        <v>0</v>
      </c>
      <c r="BJ239" s="31">
        <f>G239*H239</f>
        <v>0</v>
      </c>
      <c r="BK239" s="31"/>
      <c r="BL239" s="31">
        <v>766</v>
      </c>
      <c r="BW239" s="31">
        <v>21</v>
      </c>
    </row>
    <row r="240" spans="1:12" ht="15" customHeight="1">
      <c r="A240" s="60"/>
      <c r="D240" s="61" t="s">
        <v>203</v>
      </c>
      <c r="E240" s="62"/>
      <c r="G240" s="63">
        <v>1000.0000000000001</v>
      </c>
      <c r="L240" s="64"/>
    </row>
    <row r="241" spans="1:47" ht="15" customHeight="1">
      <c r="A241" s="55"/>
      <c r="B241" s="56" t="s">
        <v>85</v>
      </c>
      <c r="C241" s="56" t="s">
        <v>541</v>
      </c>
      <c r="D241" s="122" t="s">
        <v>542</v>
      </c>
      <c r="E241" s="122"/>
      <c r="F241" s="57" t="s">
        <v>79</v>
      </c>
      <c r="G241" s="57" t="s">
        <v>79</v>
      </c>
      <c r="H241" s="57" t="s">
        <v>79</v>
      </c>
      <c r="I241" s="36">
        <f>SUM(I242:I258)</f>
        <v>0</v>
      </c>
      <c r="J241" s="42"/>
      <c r="K241" s="36">
        <f>SUM(K242:K258)</f>
        <v>0.12168005600000001</v>
      </c>
      <c r="L241" s="58"/>
      <c r="AI241" s="42" t="s">
        <v>85</v>
      </c>
      <c r="AS241" s="36">
        <f>SUM(AJ242:AJ258)</f>
        <v>0</v>
      </c>
      <c r="AT241" s="36">
        <f>SUM(AK242:AK258)</f>
        <v>0</v>
      </c>
      <c r="AU241" s="36">
        <f>SUM(AL242:AL258)</f>
        <v>0</v>
      </c>
    </row>
    <row r="242" spans="1:75" ht="13.5" customHeight="1">
      <c r="A242" s="30" t="s">
        <v>543</v>
      </c>
      <c r="B242" s="3" t="s">
        <v>85</v>
      </c>
      <c r="C242" s="3" t="s">
        <v>544</v>
      </c>
      <c r="D242" s="78" t="s">
        <v>545</v>
      </c>
      <c r="E242" s="78"/>
      <c r="F242" s="3" t="s">
        <v>124</v>
      </c>
      <c r="G242" s="31">
        <v>64.832</v>
      </c>
      <c r="H242" s="31">
        <v>0</v>
      </c>
      <c r="I242" s="31">
        <f>G242*H242</f>
        <v>0</v>
      </c>
      <c r="J242" s="31">
        <v>0.00032</v>
      </c>
      <c r="K242" s="31">
        <f>G242*J242</f>
        <v>0.02074624</v>
      </c>
      <c r="L242" s="59" t="s">
        <v>125</v>
      </c>
      <c r="Z242" s="31">
        <f>IF(AQ242="5",BJ242,0)</f>
        <v>0</v>
      </c>
      <c r="AB242" s="31">
        <f>IF(AQ242="1",BH242,0)</f>
        <v>0</v>
      </c>
      <c r="AC242" s="31">
        <f>IF(AQ242="1",BI242,0)</f>
        <v>0</v>
      </c>
      <c r="AD242" s="31">
        <f>IF(AQ242="7",BH242,0)</f>
        <v>0</v>
      </c>
      <c r="AE242" s="31">
        <f>IF(AQ242="7",BI242,0)</f>
        <v>0</v>
      </c>
      <c r="AF242" s="31">
        <f>IF(AQ242="2",BH242,0)</f>
        <v>0</v>
      </c>
      <c r="AG242" s="31">
        <f>IF(AQ242="2",BI242,0)</f>
        <v>0</v>
      </c>
      <c r="AH242" s="31">
        <f>IF(AQ242="0",BJ242,0)</f>
        <v>0</v>
      </c>
      <c r="AI242" s="42" t="s">
        <v>85</v>
      </c>
      <c r="AJ242" s="31">
        <f>IF(AN242=0,I242,0)</f>
        <v>0</v>
      </c>
      <c r="AK242" s="31">
        <f>IF(AN242=12,I242,0)</f>
        <v>0</v>
      </c>
      <c r="AL242" s="31">
        <f>IF(AN242=21,I242,0)</f>
        <v>0</v>
      </c>
      <c r="AN242" s="31">
        <v>21</v>
      </c>
      <c r="AO242" s="31">
        <f>H242*0.189655642520122</f>
        <v>0</v>
      </c>
      <c r="AP242" s="31">
        <f>H242*(1-0.189655642520122)</f>
        <v>0</v>
      </c>
      <c r="AQ242" s="32" t="s">
        <v>154</v>
      </c>
      <c r="AV242" s="31">
        <f>AW242+AX242</f>
        <v>0</v>
      </c>
      <c r="AW242" s="31">
        <f>G242*AO242</f>
        <v>0</v>
      </c>
      <c r="AX242" s="31">
        <f>G242*AP242</f>
        <v>0</v>
      </c>
      <c r="AY242" s="32" t="s">
        <v>546</v>
      </c>
      <c r="AZ242" s="32" t="s">
        <v>547</v>
      </c>
      <c r="BA242" s="42" t="s">
        <v>128</v>
      </c>
      <c r="BC242" s="31">
        <f>AW242+AX242</f>
        <v>0</v>
      </c>
      <c r="BD242" s="31">
        <f>H242/(100-BE242)*100</f>
        <v>0</v>
      </c>
      <c r="BE242" s="31">
        <v>0</v>
      </c>
      <c r="BF242" s="31">
        <f>K242</f>
        <v>0.02074624</v>
      </c>
      <c r="BH242" s="31">
        <f>G242*AO242</f>
        <v>0</v>
      </c>
      <c r="BI242" s="31">
        <f>G242*AP242</f>
        <v>0</v>
      </c>
      <c r="BJ242" s="31">
        <f>G242*H242</f>
        <v>0</v>
      </c>
      <c r="BK242" s="31"/>
      <c r="BL242" s="31">
        <v>783</v>
      </c>
      <c r="BW242" s="31">
        <v>21</v>
      </c>
    </row>
    <row r="243" spans="1:12" ht="15" customHeight="1">
      <c r="A243" s="60"/>
      <c r="D243" s="61" t="s">
        <v>548</v>
      </c>
      <c r="E243" s="62"/>
      <c r="G243" s="63">
        <v>64.83200000000001</v>
      </c>
      <c r="L243" s="64"/>
    </row>
    <row r="244" spans="1:75" ht="13.5" customHeight="1">
      <c r="A244" s="30" t="s">
        <v>549</v>
      </c>
      <c r="B244" s="3" t="s">
        <v>85</v>
      </c>
      <c r="C244" s="3" t="s">
        <v>550</v>
      </c>
      <c r="D244" s="78" t="s">
        <v>551</v>
      </c>
      <c r="E244" s="78"/>
      <c r="F244" s="3" t="s">
        <v>124</v>
      </c>
      <c r="G244" s="31">
        <v>626.7826</v>
      </c>
      <c r="H244" s="31">
        <v>0</v>
      </c>
      <c r="I244" s="31">
        <f>G244*H244</f>
        <v>0</v>
      </c>
      <c r="J244" s="31">
        <v>0.00016</v>
      </c>
      <c r="K244" s="31">
        <f>G244*J244</f>
        <v>0.10028521600000001</v>
      </c>
      <c r="L244" s="59" t="s">
        <v>125</v>
      </c>
      <c r="Z244" s="31">
        <f>IF(AQ244="5",BJ244,0)</f>
        <v>0</v>
      </c>
      <c r="AB244" s="31">
        <f>IF(AQ244="1",BH244,0)</f>
        <v>0</v>
      </c>
      <c r="AC244" s="31">
        <f>IF(AQ244="1",BI244,0)</f>
        <v>0</v>
      </c>
      <c r="AD244" s="31">
        <f>IF(AQ244="7",BH244,0)</f>
        <v>0</v>
      </c>
      <c r="AE244" s="31">
        <f>IF(AQ244="7",BI244,0)</f>
        <v>0</v>
      </c>
      <c r="AF244" s="31">
        <f>IF(AQ244="2",BH244,0)</f>
        <v>0</v>
      </c>
      <c r="AG244" s="31">
        <f>IF(AQ244="2",BI244,0)</f>
        <v>0</v>
      </c>
      <c r="AH244" s="31">
        <f>IF(AQ244="0",BJ244,0)</f>
        <v>0</v>
      </c>
      <c r="AI244" s="42" t="s">
        <v>85</v>
      </c>
      <c r="AJ244" s="31">
        <f>IF(AN244=0,I244,0)</f>
        <v>0</v>
      </c>
      <c r="AK244" s="31">
        <f>IF(AN244=12,I244,0)</f>
        <v>0</v>
      </c>
      <c r="AL244" s="31">
        <f>IF(AN244=21,I244,0)</f>
        <v>0</v>
      </c>
      <c r="AN244" s="31">
        <v>21</v>
      </c>
      <c r="AO244" s="31">
        <f>H244*0.239506300041364</f>
        <v>0</v>
      </c>
      <c r="AP244" s="31">
        <f>H244*(1-0.239506300041364)</f>
        <v>0</v>
      </c>
      <c r="AQ244" s="32" t="s">
        <v>154</v>
      </c>
      <c r="AV244" s="31">
        <f>AW244+AX244</f>
        <v>0</v>
      </c>
      <c r="AW244" s="31">
        <f>G244*AO244</f>
        <v>0</v>
      </c>
      <c r="AX244" s="31">
        <f>G244*AP244</f>
        <v>0</v>
      </c>
      <c r="AY244" s="32" t="s">
        <v>546</v>
      </c>
      <c r="AZ244" s="32" t="s">
        <v>547</v>
      </c>
      <c r="BA244" s="42" t="s">
        <v>128</v>
      </c>
      <c r="BC244" s="31">
        <f>AW244+AX244</f>
        <v>0</v>
      </c>
      <c r="BD244" s="31">
        <f>H244/(100-BE244)*100</f>
        <v>0</v>
      </c>
      <c r="BE244" s="31">
        <v>0</v>
      </c>
      <c r="BF244" s="31">
        <f>K244</f>
        <v>0.10028521600000001</v>
      </c>
      <c r="BH244" s="31">
        <f>G244*AO244</f>
        <v>0</v>
      </c>
      <c r="BI244" s="31">
        <f>G244*AP244</f>
        <v>0</v>
      </c>
      <c r="BJ244" s="31">
        <f>G244*H244</f>
        <v>0</v>
      </c>
      <c r="BK244" s="31"/>
      <c r="BL244" s="31">
        <v>783</v>
      </c>
      <c r="BW244" s="31">
        <v>21</v>
      </c>
    </row>
    <row r="245" spans="1:12" ht="15" customHeight="1">
      <c r="A245" s="60"/>
      <c r="D245" s="61" t="s">
        <v>553</v>
      </c>
      <c r="E245" s="62"/>
      <c r="G245" s="63">
        <v>76.12</v>
      </c>
      <c r="L245" s="64"/>
    </row>
    <row r="246" spans="1:12" ht="15" customHeight="1">
      <c r="A246" s="60"/>
      <c r="D246" s="61" t="s">
        <v>554</v>
      </c>
      <c r="E246" s="62"/>
      <c r="G246" s="63">
        <v>8.035200000000001</v>
      </c>
      <c r="L246" s="64"/>
    </row>
    <row r="247" spans="1:12" ht="15" customHeight="1">
      <c r="A247" s="60"/>
      <c r="D247" s="61" t="s">
        <v>555</v>
      </c>
      <c r="E247" s="62"/>
      <c r="G247" s="63">
        <v>112.27600000000001</v>
      </c>
      <c r="L247" s="64"/>
    </row>
    <row r="248" spans="1:12" ht="15" customHeight="1">
      <c r="A248" s="60"/>
      <c r="D248" s="61" t="s">
        <v>556</v>
      </c>
      <c r="E248" s="62"/>
      <c r="G248" s="63">
        <v>22.341600000000003</v>
      </c>
      <c r="L248" s="64"/>
    </row>
    <row r="249" spans="1:12" ht="15" customHeight="1">
      <c r="A249" s="60"/>
      <c r="D249" s="61" t="s">
        <v>557</v>
      </c>
      <c r="E249" s="62"/>
      <c r="G249" s="63">
        <v>30.69</v>
      </c>
      <c r="L249" s="64"/>
    </row>
    <row r="250" spans="1:12" ht="15" customHeight="1">
      <c r="A250" s="60"/>
      <c r="D250" s="61" t="s">
        <v>558</v>
      </c>
      <c r="E250" s="62"/>
      <c r="G250" s="63">
        <v>14.8596</v>
      </c>
      <c r="L250" s="64"/>
    </row>
    <row r="251" spans="1:12" ht="15" customHeight="1">
      <c r="A251" s="60"/>
      <c r="D251" s="61" t="s">
        <v>559</v>
      </c>
      <c r="E251" s="62"/>
      <c r="G251" s="63">
        <v>42.132000000000005</v>
      </c>
      <c r="L251" s="64"/>
    </row>
    <row r="252" spans="1:12" ht="15" customHeight="1">
      <c r="A252" s="60"/>
      <c r="D252" s="61" t="s">
        <v>560</v>
      </c>
      <c r="E252" s="62"/>
      <c r="G252" s="63">
        <v>11.520000000000001</v>
      </c>
      <c r="L252" s="64"/>
    </row>
    <row r="253" spans="1:12" ht="15" customHeight="1">
      <c r="A253" s="60"/>
      <c r="D253" s="61" t="s">
        <v>561</v>
      </c>
      <c r="E253" s="62"/>
      <c r="G253" s="63">
        <v>258.11060000000003</v>
      </c>
      <c r="L253" s="64"/>
    </row>
    <row r="254" spans="1:12" ht="15" customHeight="1">
      <c r="A254" s="60"/>
      <c r="D254" s="61" t="s">
        <v>562</v>
      </c>
      <c r="E254" s="62"/>
      <c r="G254" s="63">
        <v>39.55200000000001</v>
      </c>
      <c r="L254" s="64"/>
    </row>
    <row r="255" spans="1:12" ht="15" customHeight="1">
      <c r="A255" s="60"/>
      <c r="D255" s="61" t="s">
        <v>563</v>
      </c>
      <c r="E255" s="62"/>
      <c r="G255" s="63">
        <v>11.145600000000002</v>
      </c>
      <c r="L255" s="64"/>
    </row>
    <row r="256" spans="1:75" ht="13.5" customHeight="1">
      <c r="A256" s="30" t="s">
        <v>564</v>
      </c>
      <c r="B256" s="3" t="s">
        <v>85</v>
      </c>
      <c r="C256" s="3" t="s">
        <v>565</v>
      </c>
      <c r="D256" s="78" t="s">
        <v>566</v>
      </c>
      <c r="E256" s="78"/>
      <c r="F256" s="3" t="s">
        <v>124</v>
      </c>
      <c r="G256" s="31">
        <v>1.41</v>
      </c>
      <c r="H256" s="31">
        <v>0</v>
      </c>
      <c r="I256" s="31">
        <f>G256*H256</f>
        <v>0</v>
      </c>
      <c r="J256" s="31">
        <v>0.00015</v>
      </c>
      <c r="K256" s="31">
        <f>G256*J256</f>
        <v>0.00021149999999999996</v>
      </c>
      <c r="L256" s="59" t="s">
        <v>125</v>
      </c>
      <c r="Z256" s="31">
        <f>IF(AQ256="5",BJ256,0)</f>
        <v>0</v>
      </c>
      <c r="AB256" s="31">
        <f>IF(AQ256="1",BH256,0)</f>
        <v>0</v>
      </c>
      <c r="AC256" s="31">
        <f>IF(AQ256="1",BI256,0)</f>
        <v>0</v>
      </c>
      <c r="AD256" s="31">
        <f>IF(AQ256="7",BH256,0)</f>
        <v>0</v>
      </c>
      <c r="AE256" s="31">
        <f>IF(AQ256="7",BI256,0)</f>
        <v>0</v>
      </c>
      <c r="AF256" s="31">
        <f>IF(AQ256="2",BH256,0)</f>
        <v>0</v>
      </c>
      <c r="AG256" s="31">
        <f>IF(AQ256="2",BI256,0)</f>
        <v>0</v>
      </c>
      <c r="AH256" s="31">
        <f>IF(AQ256="0",BJ256,0)</f>
        <v>0</v>
      </c>
      <c r="AI256" s="42" t="s">
        <v>85</v>
      </c>
      <c r="AJ256" s="31">
        <f>IF(AN256=0,I256,0)</f>
        <v>0</v>
      </c>
      <c r="AK256" s="31">
        <f>IF(AN256=12,I256,0)</f>
        <v>0</v>
      </c>
      <c r="AL256" s="31">
        <f>IF(AN256=21,I256,0)</f>
        <v>0</v>
      </c>
      <c r="AN256" s="31">
        <v>21</v>
      </c>
      <c r="AO256" s="31">
        <f>H256*0.591012631578947</f>
        <v>0</v>
      </c>
      <c r="AP256" s="31">
        <f>H256*(1-0.591012631578947)</f>
        <v>0</v>
      </c>
      <c r="AQ256" s="32" t="s">
        <v>154</v>
      </c>
      <c r="AV256" s="31">
        <f>AW256+AX256</f>
        <v>0</v>
      </c>
      <c r="AW256" s="31">
        <f>G256*AO256</f>
        <v>0</v>
      </c>
      <c r="AX256" s="31">
        <f>G256*AP256</f>
        <v>0</v>
      </c>
      <c r="AY256" s="32" t="s">
        <v>546</v>
      </c>
      <c r="AZ256" s="32" t="s">
        <v>547</v>
      </c>
      <c r="BA256" s="42" t="s">
        <v>128</v>
      </c>
      <c r="BC256" s="31">
        <f>AW256+AX256</f>
        <v>0</v>
      </c>
      <c r="BD256" s="31">
        <f>H256/(100-BE256)*100</f>
        <v>0</v>
      </c>
      <c r="BE256" s="31">
        <v>0</v>
      </c>
      <c r="BF256" s="31">
        <f>K256</f>
        <v>0.00021149999999999996</v>
      </c>
      <c r="BH256" s="31">
        <f>G256*AO256</f>
        <v>0</v>
      </c>
      <c r="BI256" s="31">
        <f>G256*AP256</f>
        <v>0</v>
      </c>
      <c r="BJ256" s="31">
        <f>G256*H256</f>
        <v>0</v>
      </c>
      <c r="BK256" s="31"/>
      <c r="BL256" s="31">
        <v>783</v>
      </c>
      <c r="BW256" s="31">
        <v>21</v>
      </c>
    </row>
    <row r="257" spans="1:12" ht="15" customHeight="1">
      <c r="A257" s="60"/>
      <c r="D257" s="61" t="s">
        <v>567</v>
      </c>
      <c r="E257" s="62"/>
      <c r="G257" s="63">
        <v>1.41</v>
      </c>
      <c r="L257" s="64"/>
    </row>
    <row r="258" spans="1:75" ht="13.5" customHeight="1">
      <c r="A258" s="30" t="s">
        <v>568</v>
      </c>
      <c r="B258" s="3" t="s">
        <v>85</v>
      </c>
      <c r="C258" s="3" t="s">
        <v>569</v>
      </c>
      <c r="D258" s="78" t="s">
        <v>570</v>
      </c>
      <c r="E258" s="78"/>
      <c r="F258" s="3" t="s">
        <v>124</v>
      </c>
      <c r="G258" s="31">
        <v>1.41</v>
      </c>
      <c r="H258" s="31">
        <v>0</v>
      </c>
      <c r="I258" s="31">
        <f>G258*H258</f>
        <v>0</v>
      </c>
      <c r="J258" s="31">
        <v>0.00031</v>
      </c>
      <c r="K258" s="31">
        <f>G258*J258</f>
        <v>0.0004371</v>
      </c>
      <c r="L258" s="59" t="s">
        <v>125</v>
      </c>
      <c r="Z258" s="31">
        <f>IF(AQ258="5",BJ258,0)</f>
        <v>0</v>
      </c>
      <c r="AB258" s="31">
        <f>IF(AQ258="1",BH258,0)</f>
        <v>0</v>
      </c>
      <c r="AC258" s="31">
        <f>IF(AQ258="1",BI258,0)</f>
        <v>0</v>
      </c>
      <c r="AD258" s="31">
        <f>IF(AQ258="7",BH258,0)</f>
        <v>0</v>
      </c>
      <c r="AE258" s="31">
        <f>IF(AQ258="7",BI258,0)</f>
        <v>0</v>
      </c>
      <c r="AF258" s="31">
        <f>IF(AQ258="2",BH258,0)</f>
        <v>0</v>
      </c>
      <c r="AG258" s="31">
        <f>IF(AQ258="2",BI258,0)</f>
        <v>0</v>
      </c>
      <c r="AH258" s="31">
        <f>IF(AQ258="0",BJ258,0)</f>
        <v>0</v>
      </c>
      <c r="AI258" s="42" t="s">
        <v>85</v>
      </c>
      <c r="AJ258" s="31">
        <f>IF(AN258=0,I258,0)</f>
        <v>0</v>
      </c>
      <c r="AK258" s="31">
        <f>IF(AN258=12,I258,0)</f>
        <v>0</v>
      </c>
      <c r="AL258" s="31">
        <f>IF(AN258=21,I258,0)</f>
        <v>0</v>
      </c>
      <c r="AN258" s="31">
        <v>21</v>
      </c>
      <c r="AO258" s="31">
        <f>H258*0.382599238457877</f>
        <v>0</v>
      </c>
      <c r="AP258" s="31">
        <f>H258*(1-0.382599238457877)</f>
        <v>0</v>
      </c>
      <c r="AQ258" s="32" t="s">
        <v>154</v>
      </c>
      <c r="AV258" s="31">
        <f>AW258+AX258</f>
        <v>0</v>
      </c>
      <c r="AW258" s="31">
        <f>G258*AO258</f>
        <v>0</v>
      </c>
      <c r="AX258" s="31">
        <f>G258*AP258</f>
        <v>0</v>
      </c>
      <c r="AY258" s="32" t="s">
        <v>546</v>
      </c>
      <c r="AZ258" s="32" t="s">
        <v>547</v>
      </c>
      <c r="BA258" s="42" t="s">
        <v>128</v>
      </c>
      <c r="BC258" s="31">
        <f>AW258+AX258</f>
        <v>0</v>
      </c>
      <c r="BD258" s="31">
        <f>H258/(100-BE258)*100</f>
        <v>0</v>
      </c>
      <c r="BE258" s="31">
        <v>0</v>
      </c>
      <c r="BF258" s="31">
        <f>K258</f>
        <v>0.0004371</v>
      </c>
      <c r="BH258" s="31">
        <f>G258*AO258</f>
        <v>0</v>
      </c>
      <c r="BI258" s="31">
        <f>G258*AP258</f>
        <v>0</v>
      </c>
      <c r="BJ258" s="31">
        <f>G258*H258</f>
        <v>0</v>
      </c>
      <c r="BK258" s="31"/>
      <c r="BL258" s="31">
        <v>783</v>
      </c>
      <c r="BW258" s="31">
        <v>21</v>
      </c>
    </row>
    <row r="259" spans="1:12" ht="15" customHeight="1">
      <c r="A259" s="60"/>
      <c r="D259" s="61" t="s">
        <v>567</v>
      </c>
      <c r="E259" s="62"/>
      <c r="G259" s="63">
        <v>1.41</v>
      </c>
      <c r="L259" s="64"/>
    </row>
    <row r="260" spans="1:47" ht="15" customHeight="1">
      <c r="A260" s="55"/>
      <c r="B260" s="56" t="s">
        <v>85</v>
      </c>
      <c r="C260" s="56" t="s">
        <v>571</v>
      </c>
      <c r="D260" s="122" t="s">
        <v>572</v>
      </c>
      <c r="E260" s="122"/>
      <c r="F260" s="57" t="s">
        <v>79</v>
      </c>
      <c r="G260" s="57" t="s">
        <v>79</v>
      </c>
      <c r="H260" s="57" t="s">
        <v>79</v>
      </c>
      <c r="I260" s="36">
        <f>SUM(I261:I275)</f>
        <v>0</v>
      </c>
      <c r="J260" s="42"/>
      <c r="K260" s="36">
        <f>SUM(K261:K275)</f>
        <v>12.010608679999999</v>
      </c>
      <c r="L260" s="58"/>
      <c r="AI260" s="42" t="s">
        <v>85</v>
      </c>
      <c r="AS260" s="36">
        <f>SUM(AJ261:AJ275)</f>
        <v>0</v>
      </c>
      <c r="AT260" s="36">
        <f>SUM(AK261:AK275)</f>
        <v>0</v>
      </c>
      <c r="AU260" s="36">
        <f>SUM(AL261:AL275)</f>
        <v>0</v>
      </c>
    </row>
    <row r="261" spans="1:75" ht="13.5" customHeight="1">
      <c r="A261" s="30" t="s">
        <v>573</v>
      </c>
      <c r="B261" s="3" t="s">
        <v>85</v>
      </c>
      <c r="C261" s="3" t="s">
        <v>574</v>
      </c>
      <c r="D261" s="78" t="s">
        <v>575</v>
      </c>
      <c r="E261" s="78"/>
      <c r="F261" s="3" t="s">
        <v>124</v>
      </c>
      <c r="G261" s="31">
        <v>606.511</v>
      </c>
      <c r="H261" s="31">
        <v>0</v>
      </c>
      <c r="I261" s="31">
        <f>G261*H261</f>
        <v>0</v>
      </c>
      <c r="J261" s="31">
        <v>0.01838</v>
      </c>
      <c r="K261" s="31">
        <f>G261*J261</f>
        <v>11.147672179999999</v>
      </c>
      <c r="L261" s="59" t="s">
        <v>125</v>
      </c>
      <c r="Z261" s="31">
        <f>IF(AQ261="5",BJ261,0)</f>
        <v>0</v>
      </c>
      <c r="AB261" s="31">
        <f>IF(AQ261="1",BH261,0)</f>
        <v>0</v>
      </c>
      <c r="AC261" s="31">
        <f>IF(AQ261="1",BI261,0)</f>
        <v>0</v>
      </c>
      <c r="AD261" s="31">
        <f>IF(AQ261="7",BH261,0)</f>
        <v>0</v>
      </c>
      <c r="AE261" s="31">
        <f>IF(AQ261="7",BI261,0)</f>
        <v>0</v>
      </c>
      <c r="AF261" s="31">
        <f>IF(AQ261="2",BH261,0)</f>
        <v>0</v>
      </c>
      <c r="AG261" s="31">
        <f>IF(AQ261="2",BI261,0)</f>
        <v>0</v>
      </c>
      <c r="AH261" s="31">
        <f>IF(AQ261="0",BJ261,0)</f>
        <v>0</v>
      </c>
      <c r="AI261" s="42" t="s">
        <v>85</v>
      </c>
      <c r="AJ261" s="31">
        <f>IF(AN261=0,I261,0)</f>
        <v>0</v>
      </c>
      <c r="AK261" s="31">
        <f>IF(AN261=12,I261,0)</f>
        <v>0</v>
      </c>
      <c r="AL261" s="31">
        <f>IF(AN261=21,I261,0)</f>
        <v>0</v>
      </c>
      <c r="AN261" s="31">
        <v>21</v>
      </c>
      <c r="AO261" s="31">
        <f>H261*0.000487804897665375</f>
        <v>0</v>
      </c>
      <c r="AP261" s="31">
        <f>H261*(1-0.000487804897665375)</f>
        <v>0</v>
      </c>
      <c r="AQ261" s="32" t="s">
        <v>121</v>
      </c>
      <c r="AV261" s="31">
        <f>AW261+AX261</f>
        <v>0</v>
      </c>
      <c r="AW261" s="31">
        <f>G261*AO261</f>
        <v>0</v>
      </c>
      <c r="AX261" s="31">
        <f>G261*AP261</f>
        <v>0</v>
      </c>
      <c r="AY261" s="32" t="s">
        <v>576</v>
      </c>
      <c r="AZ261" s="32" t="s">
        <v>577</v>
      </c>
      <c r="BA261" s="42" t="s">
        <v>128</v>
      </c>
      <c r="BC261" s="31">
        <f>AW261+AX261</f>
        <v>0</v>
      </c>
      <c r="BD261" s="31">
        <f>H261/(100-BE261)*100</f>
        <v>0</v>
      </c>
      <c r="BE261" s="31">
        <v>0</v>
      </c>
      <c r="BF261" s="31">
        <f>K261</f>
        <v>11.147672179999999</v>
      </c>
      <c r="BH261" s="31">
        <f>G261*AO261</f>
        <v>0</v>
      </c>
      <c r="BI261" s="31">
        <f>G261*AP261</f>
        <v>0</v>
      </c>
      <c r="BJ261" s="31">
        <f>G261*H261</f>
        <v>0</v>
      </c>
      <c r="BK261" s="31"/>
      <c r="BL261" s="31">
        <v>94</v>
      </c>
      <c r="BW261" s="31">
        <v>21</v>
      </c>
    </row>
    <row r="262" spans="1:12" ht="15" customHeight="1">
      <c r="A262" s="60"/>
      <c r="D262" s="61" t="s">
        <v>578</v>
      </c>
      <c r="E262" s="62"/>
      <c r="G262" s="63">
        <v>606.5110000000001</v>
      </c>
      <c r="L262" s="64"/>
    </row>
    <row r="263" spans="1:75" ht="13.5" customHeight="1">
      <c r="A263" s="30" t="s">
        <v>579</v>
      </c>
      <c r="B263" s="3" t="s">
        <v>85</v>
      </c>
      <c r="C263" s="3" t="s">
        <v>580</v>
      </c>
      <c r="D263" s="78" t="s">
        <v>581</v>
      </c>
      <c r="E263" s="78"/>
      <c r="F263" s="3" t="s">
        <v>124</v>
      </c>
      <c r="G263" s="31">
        <v>55845.99</v>
      </c>
      <c r="H263" s="31">
        <v>0</v>
      </c>
      <c r="I263" s="31">
        <f>G263*H263</f>
        <v>0</v>
      </c>
      <c r="J263" s="31">
        <v>0</v>
      </c>
      <c r="K263" s="31">
        <f>G263*J263</f>
        <v>0</v>
      </c>
      <c r="L263" s="59" t="s">
        <v>125</v>
      </c>
      <c r="Z263" s="31">
        <f>IF(AQ263="5",BJ263,0)</f>
        <v>0</v>
      </c>
      <c r="AB263" s="31">
        <f>IF(AQ263="1",BH263,0)</f>
        <v>0</v>
      </c>
      <c r="AC263" s="31">
        <f>IF(AQ263="1",BI263,0)</f>
        <v>0</v>
      </c>
      <c r="AD263" s="31">
        <f>IF(AQ263="7",BH263,0)</f>
        <v>0</v>
      </c>
      <c r="AE263" s="31">
        <f>IF(AQ263="7",BI263,0)</f>
        <v>0</v>
      </c>
      <c r="AF263" s="31">
        <f>IF(AQ263="2",BH263,0)</f>
        <v>0</v>
      </c>
      <c r="AG263" s="31">
        <f>IF(AQ263="2",BI263,0)</f>
        <v>0</v>
      </c>
      <c r="AH263" s="31">
        <f>IF(AQ263="0",BJ263,0)</f>
        <v>0</v>
      </c>
      <c r="AI263" s="42" t="s">
        <v>85</v>
      </c>
      <c r="AJ263" s="31">
        <f>IF(AN263=0,I263,0)</f>
        <v>0</v>
      </c>
      <c r="AK263" s="31">
        <f>IF(AN263=12,I263,0)</f>
        <v>0</v>
      </c>
      <c r="AL263" s="31">
        <f>IF(AN263=21,I263,0)</f>
        <v>0</v>
      </c>
      <c r="AN263" s="31">
        <v>21</v>
      </c>
      <c r="AO263" s="31">
        <f>H263*0</f>
        <v>0</v>
      </c>
      <c r="AP263" s="31">
        <f>H263*(1-0)</f>
        <v>0</v>
      </c>
      <c r="AQ263" s="32" t="s">
        <v>121</v>
      </c>
      <c r="AV263" s="31">
        <f>AW263+AX263</f>
        <v>0</v>
      </c>
      <c r="AW263" s="31">
        <f>G263*AO263</f>
        <v>0</v>
      </c>
      <c r="AX263" s="31">
        <f>G263*AP263</f>
        <v>0</v>
      </c>
      <c r="AY263" s="32" t="s">
        <v>576</v>
      </c>
      <c r="AZ263" s="32" t="s">
        <v>577</v>
      </c>
      <c r="BA263" s="42" t="s">
        <v>128</v>
      </c>
      <c r="BC263" s="31">
        <f>AW263+AX263</f>
        <v>0</v>
      </c>
      <c r="BD263" s="31">
        <f>H263/(100-BE263)*100</f>
        <v>0</v>
      </c>
      <c r="BE263" s="31">
        <v>0</v>
      </c>
      <c r="BF263" s="31">
        <f>K263</f>
        <v>0</v>
      </c>
      <c r="BH263" s="31">
        <f>G263*AO263</f>
        <v>0</v>
      </c>
      <c r="BI263" s="31">
        <f>G263*AP263</f>
        <v>0</v>
      </c>
      <c r="BJ263" s="31">
        <f>G263*H263</f>
        <v>0</v>
      </c>
      <c r="BK263" s="31"/>
      <c r="BL263" s="31">
        <v>94</v>
      </c>
      <c r="BW263" s="31">
        <v>21</v>
      </c>
    </row>
    <row r="264" spans="1:12" ht="15" customHeight="1">
      <c r="A264" s="60"/>
      <c r="D264" s="61" t="s">
        <v>582</v>
      </c>
      <c r="E264" s="62"/>
      <c r="G264" s="63">
        <v>55845.990000000005</v>
      </c>
      <c r="L264" s="64"/>
    </row>
    <row r="265" spans="1:75" ht="13.5" customHeight="1">
      <c r="A265" s="30" t="s">
        <v>583</v>
      </c>
      <c r="B265" s="3" t="s">
        <v>85</v>
      </c>
      <c r="C265" s="3" t="s">
        <v>584</v>
      </c>
      <c r="D265" s="78" t="s">
        <v>585</v>
      </c>
      <c r="E265" s="78"/>
      <c r="F265" s="3" t="s">
        <v>124</v>
      </c>
      <c r="G265" s="31">
        <v>606.511</v>
      </c>
      <c r="H265" s="31">
        <v>0</v>
      </c>
      <c r="I265" s="31">
        <f>G265*H265</f>
        <v>0</v>
      </c>
      <c r="J265" s="31">
        <v>0</v>
      </c>
      <c r="K265" s="31">
        <f>G265*J265</f>
        <v>0</v>
      </c>
      <c r="L265" s="59" t="s">
        <v>125</v>
      </c>
      <c r="Z265" s="31">
        <f>IF(AQ265="5",BJ265,0)</f>
        <v>0</v>
      </c>
      <c r="AB265" s="31">
        <f>IF(AQ265="1",BH265,0)</f>
        <v>0</v>
      </c>
      <c r="AC265" s="31">
        <f>IF(AQ265="1",BI265,0)</f>
        <v>0</v>
      </c>
      <c r="AD265" s="31">
        <f>IF(AQ265="7",BH265,0)</f>
        <v>0</v>
      </c>
      <c r="AE265" s="31">
        <f>IF(AQ265="7",BI265,0)</f>
        <v>0</v>
      </c>
      <c r="AF265" s="31">
        <f>IF(AQ265="2",BH265,0)</f>
        <v>0</v>
      </c>
      <c r="AG265" s="31">
        <f>IF(AQ265="2",BI265,0)</f>
        <v>0</v>
      </c>
      <c r="AH265" s="31">
        <f>IF(AQ265="0",BJ265,0)</f>
        <v>0</v>
      </c>
      <c r="AI265" s="42" t="s">
        <v>85</v>
      </c>
      <c r="AJ265" s="31">
        <f>IF(AN265=0,I265,0)</f>
        <v>0</v>
      </c>
      <c r="AK265" s="31">
        <f>IF(AN265=12,I265,0)</f>
        <v>0</v>
      </c>
      <c r="AL265" s="31">
        <f>IF(AN265=21,I265,0)</f>
        <v>0</v>
      </c>
      <c r="AN265" s="31">
        <v>21</v>
      </c>
      <c r="AO265" s="31">
        <f>H265*0</f>
        <v>0</v>
      </c>
      <c r="AP265" s="31">
        <f>H265*(1-0)</f>
        <v>0</v>
      </c>
      <c r="AQ265" s="32" t="s">
        <v>121</v>
      </c>
      <c r="AV265" s="31">
        <f>AW265+AX265</f>
        <v>0</v>
      </c>
      <c r="AW265" s="31">
        <f>G265*AO265</f>
        <v>0</v>
      </c>
      <c r="AX265" s="31">
        <f>G265*AP265</f>
        <v>0</v>
      </c>
      <c r="AY265" s="32" t="s">
        <v>576</v>
      </c>
      <c r="AZ265" s="32" t="s">
        <v>577</v>
      </c>
      <c r="BA265" s="42" t="s">
        <v>128</v>
      </c>
      <c r="BC265" s="31">
        <f>AW265+AX265</f>
        <v>0</v>
      </c>
      <c r="BD265" s="31">
        <f>H265/(100-BE265)*100</f>
        <v>0</v>
      </c>
      <c r="BE265" s="31">
        <v>0</v>
      </c>
      <c r="BF265" s="31">
        <f>K265</f>
        <v>0</v>
      </c>
      <c r="BH265" s="31">
        <f>G265*AO265</f>
        <v>0</v>
      </c>
      <c r="BI265" s="31">
        <f>G265*AP265</f>
        <v>0</v>
      </c>
      <c r="BJ265" s="31">
        <f>G265*H265</f>
        <v>0</v>
      </c>
      <c r="BK265" s="31"/>
      <c r="BL265" s="31">
        <v>94</v>
      </c>
      <c r="BW265" s="31">
        <v>21</v>
      </c>
    </row>
    <row r="266" spans="1:12" ht="15" customHeight="1">
      <c r="A266" s="60"/>
      <c r="D266" s="61" t="s">
        <v>586</v>
      </c>
      <c r="E266" s="62"/>
      <c r="G266" s="63">
        <v>606.5110000000001</v>
      </c>
      <c r="L266" s="64"/>
    </row>
    <row r="267" spans="1:75" ht="13.5" customHeight="1">
      <c r="A267" s="30" t="s">
        <v>571</v>
      </c>
      <c r="B267" s="3" t="s">
        <v>85</v>
      </c>
      <c r="C267" s="3" t="s">
        <v>587</v>
      </c>
      <c r="D267" s="78" t="s">
        <v>588</v>
      </c>
      <c r="E267" s="78"/>
      <c r="F267" s="3" t="s">
        <v>124</v>
      </c>
      <c r="G267" s="31">
        <v>606.511</v>
      </c>
      <c r="H267" s="31">
        <v>0</v>
      </c>
      <c r="I267" s="31">
        <f>G267*H267</f>
        <v>0</v>
      </c>
      <c r="J267" s="31">
        <v>0</v>
      </c>
      <c r="K267" s="31">
        <f>G267*J267</f>
        <v>0</v>
      </c>
      <c r="L267" s="59" t="s">
        <v>125</v>
      </c>
      <c r="Z267" s="31">
        <f>IF(AQ267="5",BJ267,0)</f>
        <v>0</v>
      </c>
      <c r="AB267" s="31">
        <f>IF(AQ267="1",BH267,0)</f>
        <v>0</v>
      </c>
      <c r="AC267" s="31">
        <f>IF(AQ267="1",BI267,0)</f>
        <v>0</v>
      </c>
      <c r="AD267" s="31">
        <f>IF(AQ267="7",BH267,0)</f>
        <v>0</v>
      </c>
      <c r="AE267" s="31">
        <f>IF(AQ267="7",BI267,0)</f>
        <v>0</v>
      </c>
      <c r="AF267" s="31">
        <f>IF(AQ267="2",BH267,0)</f>
        <v>0</v>
      </c>
      <c r="AG267" s="31">
        <f>IF(AQ267="2",BI267,0)</f>
        <v>0</v>
      </c>
      <c r="AH267" s="31">
        <f>IF(AQ267="0",BJ267,0)</f>
        <v>0</v>
      </c>
      <c r="AI267" s="42" t="s">
        <v>85</v>
      </c>
      <c r="AJ267" s="31">
        <f>IF(AN267=0,I267,0)</f>
        <v>0</v>
      </c>
      <c r="AK267" s="31">
        <f>IF(AN267=12,I267,0)</f>
        <v>0</v>
      </c>
      <c r="AL267" s="31">
        <f>IF(AN267=21,I267,0)</f>
        <v>0</v>
      </c>
      <c r="AN267" s="31">
        <v>21</v>
      </c>
      <c r="AO267" s="31">
        <f>H267*0</f>
        <v>0</v>
      </c>
      <c r="AP267" s="31">
        <f>H267*(1-0)</f>
        <v>0</v>
      </c>
      <c r="AQ267" s="32" t="s">
        <v>121</v>
      </c>
      <c r="AV267" s="31">
        <f>AW267+AX267</f>
        <v>0</v>
      </c>
      <c r="AW267" s="31">
        <f>G267*AO267</f>
        <v>0</v>
      </c>
      <c r="AX267" s="31">
        <f>G267*AP267</f>
        <v>0</v>
      </c>
      <c r="AY267" s="32" t="s">
        <v>576</v>
      </c>
      <c r="AZ267" s="32" t="s">
        <v>577</v>
      </c>
      <c r="BA267" s="42" t="s">
        <v>128</v>
      </c>
      <c r="BC267" s="31">
        <f>AW267+AX267</f>
        <v>0</v>
      </c>
      <c r="BD267" s="31">
        <f>H267/(100-BE267)*100</f>
        <v>0</v>
      </c>
      <c r="BE267" s="31">
        <v>0</v>
      </c>
      <c r="BF267" s="31">
        <f>K267</f>
        <v>0</v>
      </c>
      <c r="BH267" s="31">
        <f>G267*AO267</f>
        <v>0</v>
      </c>
      <c r="BI267" s="31">
        <f>G267*AP267</f>
        <v>0</v>
      </c>
      <c r="BJ267" s="31">
        <f>G267*H267</f>
        <v>0</v>
      </c>
      <c r="BK267" s="31"/>
      <c r="BL267" s="31">
        <v>94</v>
      </c>
      <c r="BW267" s="31">
        <v>21</v>
      </c>
    </row>
    <row r="268" spans="1:12" ht="15" customHeight="1">
      <c r="A268" s="60"/>
      <c r="D268" s="61" t="s">
        <v>586</v>
      </c>
      <c r="E268" s="62"/>
      <c r="G268" s="63">
        <v>606.5110000000001</v>
      </c>
      <c r="L268" s="64"/>
    </row>
    <row r="269" spans="1:75" ht="13.5" customHeight="1">
      <c r="A269" s="30" t="s">
        <v>589</v>
      </c>
      <c r="B269" s="3" t="s">
        <v>85</v>
      </c>
      <c r="C269" s="3" t="s">
        <v>590</v>
      </c>
      <c r="D269" s="78" t="s">
        <v>591</v>
      </c>
      <c r="E269" s="78"/>
      <c r="F269" s="3" t="s">
        <v>124</v>
      </c>
      <c r="G269" s="31">
        <v>1819.53</v>
      </c>
      <c r="H269" s="31">
        <v>0</v>
      </c>
      <c r="I269" s="31">
        <f>G269*H269</f>
        <v>0</v>
      </c>
      <c r="J269" s="31">
        <v>5E-05</v>
      </c>
      <c r="K269" s="31">
        <f>G269*J269</f>
        <v>0.0909765</v>
      </c>
      <c r="L269" s="59" t="s">
        <v>125</v>
      </c>
      <c r="Z269" s="31">
        <f>IF(AQ269="5",BJ269,0)</f>
        <v>0</v>
      </c>
      <c r="AB269" s="31">
        <f>IF(AQ269="1",BH269,0)</f>
        <v>0</v>
      </c>
      <c r="AC269" s="31">
        <f>IF(AQ269="1",BI269,0)</f>
        <v>0</v>
      </c>
      <c r="AD269" s="31">
        <f>IF(AQ269="7",BH269,0)</f>
        <v>0</v>
      </c>
      <c r="AE269" s="31">
        <f>IF(AQ269="7",BI269,0)</f>
        <v>0</v>
      </c>
      <c r="AF269" s="31">
        <f>IF(AQ269="2",BH269,0)</f>
        <v>0</v>
      </c>
      <c r="AG269" s="31">
        <f>IF(AQ269="2",BI269,0)</f>
        <v>0</v>
      </c>
      <c r="AH269" s="31">
        <f>IF(AQ269="0",BJ269,0)</f>
        <v>0</v>
      </c>
      <c r="AI269" s="42" t="s">
        <v>85</v>
      </c>
      <c r="AJ269" s="31">
        <f>IF(AN269=0,I269,0)</f>
        <v>0</v>
      </c>
      <c r="AK269" s="31">
        <f>IF(AN269=12,I269,0)</f>
        <v>0</v>
      </c>
      <c r="AL269" s="31">
        <f>IF(AN269=21,I269,0)</f>
        <v>0</v>
      </c>
      <c r="AN269" s="31">
        <v>21</v>
      </c>
      <c r="AO269" s="31">
        <f>H269*1.00000093327112</f>
        <v>0</v>
      </c>
      <c r="AP269" s="31">
        <f>H269*(1-1.00000093327112)</f>
        <v>0</v>
      </c>
      <c r="AQ269" s="32" t="s">
        <v>121</v>
      </c>
      <c r="AV269" s="31">
        <f>AW269+AX269</f>
        <v>0</v>
      </c>
      <c r="AW269" s="31">
        <f>G269*AO269</f>
        <v>0</v>
      </c>
      <c r="AX269" s="31">
        <f>G269*AP269</f>
        <v>0</v>
      </c>
      <c r="AY269" s="32" t="s">
        <v>576</v>
      </c>
      <c r="AZ269" s="32" t="s">
        <v>577</v>
      </c>
      <c r="BA269" s="42" t="s">
        <v>128</v>
      </c>
      <c r="BC269" s="31">
        <f>AW269+AX269</f>
        <v>0</v>
      </c>
      <c r="BD269" s="31">
        <f>H269/(100-BE269)*100</f>
        <v>0</v>
      </c>
      <c r="BE269" s="31">
        <v>0</v>
      </c>
      <c r="BF269" s="31">
        <f>K269</f>
        <v>0.0909765</v>
      </c>
      <c r="BH269" s="31">
        <f>G269*AO269</f>
        <v>0</v>
      </c>
      <c r="BI269" s="31">
        <f>G269*AP269</f>
        <v>0</v>
      </c>
      <c r="BJ269" s="31">
        <f>G269*H269</f>
        <v>0</v>
      </c>
      <c r="BK269" s="31"/>
      <c r="BL269" s="31">
        <v>94</v>
      </c>
      <c r="BW269" s="31">
        <v>21</v>
      </c>
    </row>
    <row r="270" spans="1:12" ht="15" customHeight="1">
      <c r="A270" s="60"/>
      <c r="D270" s="61" t="s">
        <v>592</v>
      </c>
      <c r="E270" s="62"/>
      <c r="G270" s="63">
        <v>1819.5300000000002</v>
      </c>
      <c r="L270" s="64"/>
    </row>
    <row r="271" spans="1:75" ht="13.5" customHeight="1">
      <c r="A271" s="30" t="s">
        <v>593</v>
      </c>
      <c r="B271" s="3" t="s">
        <v>85</v>
      </c>
      <c r="C271" s="3" t="s">
        <v>594</v>
      </c>
      <c r="D271" s="78" t="s">
        <v>595</v>
      </c>
      <c r="E271" s="78"/>
      <c r="F271" s="3" t="s">
        <v>124</v>
      </c>
      <c r="G271" s="31">
        <v>606.51</v>
      </c>
      <c r="H271" s="31">
        <v>0</v>
      </c>
      <c r="I271" s="31">
        <f>G271*H271</f>
        <v>0</v>
      </c>
      <c r="J271" s="31">
        <v>0</v>
      </c>
      <c r="K271" s="31">
        <f>G271*J271</f>
        <v>0</v>
      </c>
      <c r="L271" s="59" t="s">
        <v>125</v>
      </c>
      <c r="Z271" s="31">
        <f>IF(AQ271="5",BJ271,0)</f>
        <v>0</v>
      </c>
      <c r="AB271" s="31">
        <f>IF(AQ271="1",BH271,0)</f>
        <v>0</v>
      </c>
      <c r="AC271" s="31">
        <f>IF(AQ271="1",BI271,0)</f>
        <v>0</v>
      </c>
      <c r="AD271" s="31">
        <f>IF(AQ271="7",BH271,0)</f>
        <v>0</v>
      </c>
      <c r="AE271" s="31">
        <f>IF(AQ271="7",BI271,0)</f>
        <v>0</v>
      </c>
      <c r="AF271" s="31">
        <f>IF(AQ271="2",BH271,0)</f>
        <v>0</v>
      </c>
      <c r="AG271" s="31">
        <f>IF(AQ271="2",BI271,0)</f>
        <v>0</v>
      </c>
      <c r="AH271" s="31">
        <f>IF(AQ271="0",BJ271,0)</f>
        <v>0</v>
      </c>
      <c r="AI271" s="42" t="s">
        <v>85</v>
      </c>
      <c r="AJ271" s="31">
        <f>IF(AN271=0,I271,0)</f>
        <v>0</v>
      </c>
      <c r="AK271" s="31">
        <f>IF(AN271=12,I271,0)</f>
        <v>0</v>
      </c>
      <c r="AL271" s="31">
        <f>IF(AN271=21,I271,0)</f>
        <v>0</v>
      </c>
      <c r="AN271" s="31">
        <v>21</v>
      </c>
      <c r="AO271" s="31">
        <f>H271*0</f>
        <v>0</v>
      </c>
      <c r="AP271" s="31">
        <f>H271*(1-0)</f>
        <v>0</v>
      </c>
      <c r="AQ271" s="32" t="s">
        <v>121</v>
      </c>
      <c r="AV271" s="31">
        <f>AW271+AX271</f>
        <v>0</v>
      </c>
      <c r="AW271" s="31">
        <f>G271*AO271</f>
        <v>0</v>
      </c>
      <c r="AX271" s="31">
        <f>G271*AP271</f>
        <v>0</v>
      </c>
      <c r="AY271" s="32" t="s">
        <v>576</v>
      </c>
      <c r="AZ271" s="32" t="s">
        <v>577</v>
      </c>
      <c r="BA271" s="42" t="s">
        <v>128</v>
      </c>
      <c r="BC271" s="31">
        <f>AW271+AX271</f>
        <v>0</v>
      </c>
      <c r="BD271" s="31">
        <f>H271/(100-BE271)*100</f>
        <v>0</v>
      </c>
      <c r="BE271" s="31">
        <v>0</v>
      </c>
      <c r="BF271" s="31">
        <f>K271</f>
        <v>0</v>
      </c>
      <c r="BH271" s="31">
        <f>G271*AO271</f>
        <v>0</v>
      </c>
      <c r="BI271" s="31">
        <f>G271*AP271</f>
        <v>0</v>
      </c>
      <c r="BJ271" s="31">
        <f>G271*H271</f>
        <v>0</v>
      </c>
      <c r="BK271" s="31"/>
      <c r="BL271" s="31">
        <v>94</v>
      </c>
      <c r="BW271" s="31">
        <v>21</v>
      </c>
    </row>
    <row r="272" spans="1:12" ht="15" customHeight="1">
      <c r="A272" s="60"/>
      <c r="D272" s="61" t="s">
        <v>596</v>
      </c>
      <c r="E272" s="62"/>
      <c r="G272" s="63">
        <v>606.5100000000001</v>
      </c>
      <c r="L272" s="64"/>
    </row>
    <row r="273" spans="1:75" ht="13.5" customHeight="1">
      <c r="A273" s="30" t="s">
        <v>597</v>
      </c>
      <c r="B273" s="3" t="s">
        <v>85</v>
      </c>
      <c r="C273" s="3" t="s">
        <v>598</v>
      </c>
      <c r="D273" s="78" t="s">
        <v>599</v>
      </c>
      <c r="E273" s="78"/>
      <c r="F273" s="3" t="s">
        <v>124</v>
      </c>
      <c r="G273" s="31">
        <v>42</v>
      </c>
      <c r="H273" s="31">
        <v>0</v>
      </c>
      <c r="I273" s="31">
        <f>G273*H273</f>
        <v>0</v>
      </c>
      <c r="J273" s="31">
        <v>0.01838</v>
      </c>
      <c r="K273" s="31">
        <f>G273*J273</f>
        <v>0.77196</v>
      </c>
      <c r="L273" s="59" t="s">
        <v>125</v>
      </c>
      <c r="Z273" s="31">
        <f>IF(AQ273="5",BJ273,0)</f>
        <v>0</v>
      </c>
      <c r="AB273" s="31">
        <f>IF(AQ273="1",BH273,0)</f>
        <v>0</v>
      </c>
      <c r="AC273" s="31">
        <f>IF(AQ273="1",BI273,0)</f>
        <v>0</v>
      </c>
      <c r="AD273" s="31">
        <f>IF(AQ273="7",BH273,0)</f>
        <v>0</v>
      </c>
      <c r="AE273" s="31">
        <f>IF(AQ273="7",BI273,0)</f>
        <v>0</v>
      </c>
      <c r="AF273" s="31">
        <f>IF(AQ273="2",BH273,0)</f>
        <v>0</v>
      </c>
      <c r="AG273" s="31">
        <f>IF(AQ273="2",BI273,0)</f>
        <v>0</v>
      </c>
      <c r="AH273" s="31">
        <f>IF(AQ273="0",BJ273,0)</f>
        <v>0</v>
      </c>
      <c r="AI273" s="42" t="s">
        <v>85</v>
      </c>
      <c r="AJ273" s="31">
        <f>IF(AN273=0,I273,0)</f>
        <v>0</v>
      </c>
      <c r="AK273" s="31">
        <f>IF(AN273=12,I273,0)</f>
        <v>0</v>
      </c>
      <c r="AL273" s="31">
        <f>IF(AN273=21,I273,0)</f>
        <v>0</v>
      </c>
      <c r="AN273" s="31">
        <v>21</v>
      </c>
      <c r="AO273" s="31">
        <f>H273*0.000532623169107856</f>
        <v>0</v>
      </c>
      <c r="AP273" s="31">
        <f>H273*(1-0.000532623169107856)</f>
        <v>0</v>
      </c>
      <c r="AQ273" s="32" t="s">
        <v>121</v>
      </c>
      <c r="AV273" s="31">
        <f>AW273+AX273</f>
        <v>0</v>
      </c>
      <c r="AW273" s="31">
        <f>G273*AO273</f>
        <v>0</v>
      </c>
      <c r="AX273" s="31">
        <f>G273*AP273</f>
        <v>0</v>
      </c>
      <c r="AY273" s="32" t="s">
        <v>576</v>
      </c>
      <c r="AZ273" s="32" t="s">
        <v>577</v>
      </c>
      <c r="BA273" s="42" t="s">
        <v>128</v>
      </c>
      <c r="BC273" s="31">
        <f>AW273+AX273</f>
        <v>0</v>
      </c>
      <c r="BD273" s="31">
        <f>H273/(100-BE273)*100</f>
        <v>0</v>
      </c>
      <c r="BE273" s="31">
        <v>0</v>
      </c>
      <c r="BF273" s="31">
        <f>K273</f>
        <v>0.77196</v>
      </c>
      <c r="BH273" s="31">
        <f>G273*AO273</f>
        <v>0</v>
      </c>
      <c r="BI273" s="31">
        <f>G273*AP273</f>
        <v>0</v>
      </c>
      <c r="BJ273" s="31">
        <f>G273*H273</f>
        <v>0</v>
      </c>
      <c r="BK273" s="31"/>
      <c r="BL273" s="31">
        <v>94</v>
      </c>
      <c r="BW273" s="31">
        <v>21</v>
      </c>
    </row>
    <row r="274" spans="1:12" ht="15" customHeight="1">
      <c r="A274" s="60"/>
      <c r="D274" s="61" t="s">
        <v>600</v>
      </c>
      <c r="E274" s="62"/>
      <c r="G274" s="63">
        <v>42</v>
      </c>
      <c r="L274" s="64"/>
    </row>
    <row r="275" spans="1:75" ht="13.5" customHeight="1">
      <c r="A275" s="30" t="s">
        <v>601</v>
      </c>
      <c r="B275" s="3" t="s">
        <v>85</v>
      </c>
      <c r="C275" s="3" t="s">
        <v>602</v>
      </c>
      <c r="D275" s="78" t="s">
        <v>603</v>
      </c>
      <c r="E275" s="78"/>
      <c r="F275" s="3" t="s">
        <v>124</v>
      </c>
      <c r="G275" s="31">
        <v>42</v>
      </c>
      <c r="H275" s="31">
        <v>0</v>
      </c>
      <c r="I275" s="31">
        <f>G275*H275</f>
        <v>0</v>
      </c>
      <c r="J275" s="31">
        <v>0</v>
      </c>
      <c r="K275" s="31">
        <f>G275*J275</f>
        <v>0</v>
      </c>
      <c r="L275" s="59" t="s">
        <v>125</v>
      </c>
      <c r="Z275" s="31">
        <f>IF(AQ275="5",BJ275,0)</f>
        <v>0</v>
      </c>
      <c r="AB275" s="31">
        <f>IF(AQ275="1",BH275,0)</f>
        <v>0</v>
      </c>
      <c r="AC275" s="31">
        <f>IF(AQ275="1",BI275,0)</f>
        <v>0</v>
      </c>
      <c r="AD275" s="31">
        <f>IF(AQ275="7",BH275,0)</f>
        <v>0</v>
      </c>
      <c r="AE275" s="31">
        <f>IF(AQ275="7",BI275,0)</f>
        <v>0</v>
      </c>
      <c r="AF275" s="31">
        <f>IF(AQ275="2",BH275,0)</f>
        <v>0</v>
      </c>
      <c r="AG275" s="31">
        <f>IF(AQ275="2",BI275,0)</f>
        <v>0</v>
      </c>
      <c r="AH275" s="31">
        <f>IF(AQ275="0",BJ275,0)</f>
        <v>0</v>
      </c>
      <c r="AI275" s="42" t="s">
        <v>85</v>
      </c>
      <c r="AJ275" s="31">
        <f>IF(AN275=0,I275,0)</f>
        <v>0</v>
      </c>
      <c r="AK275" s="31">
        <f>IF(AN275=12,I275,0)</f>
        <v>0</v>
      </c>
      <c r="AL275" s="31">
        <f>IF(AN275=21,I275,0)</f>
        <v>0</v>
      </c>
      <c r="AN275" s="31">
        <v>21</v>
      </c>
      <c r="AO275" s="31">
        <f>H275*0</f>
        <v>0</v>
      </c>
      <c r="AP275" s="31">
        <f>H275*(1-0)</f>
        <v>0</v>
      </c>
      <c r="AQ275" s="32" t="s">
        <v>121</v>
      </c>
      <c r="AV275" s="31">
        <f>AW275+AX275</f>
        <v>0</v>
      </c>
      <c r="AW275" s="31">
        <f>G275*AO275</f>
        <v>0</v>
      </c>
      <c r="AX275" s="31">
        <f>G275*AP275</f>
        <v>0</v>
      </c>
      <c r="AY275" s="32" t="s">
        <v>576</v>
      </c>
      <c r="AZ275" s="32" t="s">
        <v>577</v>
      </c>
      <c r="BA275" s="42" t="s">
        <v>128</v>
      </c>
      <c r="BC275" s="31">
        <f>AW275+AX275</f>
        <v>0</v>
      </c>
      <c r="BD275" s="31">
        <f>H275/(100-BE275)*100</f>
        <v>0</v>
      </c>
      <c r="BE275" s="31">
        <v>0</v>
      </c>
      <c r="BF275" s="31">
        <f>K275</f>
        <v>0</v>
      </c>
      <c r="BH275" s="31">
        <f>G275*AO275</f>
        <v>0</v>
      </c>
      <c r="BI275" s="31">
        <f>G275*AP275</f>
        <v>0</v>
      </c>
      <c r="BJ275" s="31">
        <f>G275*H275</f>
        <v>0</v>
      </c>
      <c r="BK275" s="31"/>
      <c r="BL275" s="31">
        <v>94</v>
      </c>
      <c r="BW275" s="31">
        <v>21</v>
      </c>
    </row>
    <row r="276" spans="1:12" ht="15" customHeight="1">
      <c r="A276" s="60"/>
      <c r="D276" s="61" t="s">
        <v>342</v>
      </c>
      <c r="E276" s="62"/>
      <c r="G276" s="63">
        <v>42</v>
      </c>
      <c r="L276" s="64"/>
    </row>
    <row r="277" spans="1:47" ht="15" customHeight="1">
      <c r="A277" s="55"/>
      <c r="B277" s="56" t="s">
        <v>85</v>
      </c>
      <c r="C277" s="56" t="s">
        <v>604</v>
      </c>
      <c r="D277" s="122" t="s">
        <v>605</v>
      </c>
      <c r="E277" s="122"/>
      <c r="F277" s="57" t="s">
        <v>79</v>
      </c>
      <c r="G277" s="57" t="s">
        <v>79</v>
      </c>
      <c r="H277" s="57" t="s">
        <v>79</v>
      </c>
      <c r="I277" s="36">
        <f>SUM(I278:I278)</f>
        <v>0</v>
      </c>
      <c r="J277" s="42"/>
      <c r="K277" s="36">
        <f>SUM(K278:K278)</f>
        <v>0</v>
      </c>
      <c r="L277" s="58"/>
      <c r="AI277" s="42" t="s">
        <v>85</v>
      </c>
      <c r="AS277" s="36">
        <f>SUM(AJ278:AJ278)</f>
        <v>0</v>
      </c>
      <c r="AT277" s="36">
        <f>SUM(AK278:AK278)</f>
        <v>0</v>
      </c>
      <c r="AU277" s="36">
        <f>SUM(AL278:AL278)</f>
        <v>0</v>
      </c>
    </row>
    <row r="278" spans="1:75" ht="13.5" customHeight="1">
      <c r="A278" s="30" t="s">
        <v>606</v>
      </c>
      <c r="B278" s="3" t="s">
        <v>85</v>
      </c>
      <c r="C278" s="3" t="s">
        <v>607</v>
      </c>
      <c r="D278" s="78" t="s">
        <v>608</v>
      </c>
      <c r="E278" s="78"/>
      <c r="F278" s="3" t="s">
        <v>609</v>
      </c>
      <c r="G278" s="31">
        <v>13.95838</v>
      </c>
      <c r="H278" s="31">
        <v>0</v>
      </c>
      <c r="I278" s="31">
        <f>G278*H278</f>
        <v>0</v>
      </c>
      <c r="J278" s="31">
        <v>0</v>
      </c>
      <c r="K278" s="31">
        <f>G278*J278</f>
        <v>0</v>
      </c>
      <c r="L278" s="59" t="s">
        <v>125</v>
      </c>
      <c r="Z278" s="31">
        <f>IF(AQ278="5",BJ278,0)</f>
        <v>0</v>
      </c>
      <c r="AB278" s="31">
        <f>IF(AQ278="1",BH278,0)</f>
        <v>0</v>
      </c>
      <c r="AC278" s="31">
        <f>IF(AQ278="1",BI278,0)</f>
        <v>0</v>
      </c>
      <c r="AD278" s="31">
        <f>IF(AQ278="7",BH278,0)</f>
        <v>0</v>
      </c>
      <c r="AE278" s="31">
        <f>IF(AQ278="7",BI278,0)</f>
        <v>0</v>
      </c>
      <c r="AF278" s="31">
        <f>IF(AQ278="2",BH278,0)</f>
        <v>0</v>
      </c>
      <c r="AG278" s="31">
        <f>IF(AQ278="2",BI278,0)</f>
        <v>0</v>
      </c>
      <c r="AH278" s="31">
        <f>IF(AQ278="0",BJ278,0)</f>
        <v>0</v>
      </c>
      <c r="AI278" s="42" t="s">
        <v>85</v>
      </c>
      <c r="AJ278" s="31">
        <f>IF(AN278=0,I278,0)</f>
        <v>0</v>
      </c>
      <c r="AK278" s="31">
        <f>IF(AN278=12,I278,0)</f>
        <v>0</v>
      </c>
      <c r="AL278" s="31">
        <f>IF(AN278=21,I278,0)</f>
        <v>0</v>
      </c>
      <c r="AN278" s="31">
        <v>21</v>
      </c>
      <c r="AO278" s="31">
        <f>H278*0</f>
        <v>0</v>
      </c>
      <c r="AP278" s="31">
        <f>H278*(1-0)</f>
        <v>0</v>
      </c>
      <c r="AQ278" s="32" t="s">
        <v>146</v>
      </c>
      <c r="AV278" s="31">
        <f>AW278+AX278</f>
        <v>0</v>
      </c>
      <c r="AW278" s="31">
        <f>G278*AO278</f>
        <v>0</v>
      </c>
      <c r="AX278" s="31">
        <f>G278*AP278</f>
        <v>0</v>
      </c>
      <c r="AY278" s="32" t="s">
        <v>610</v>
      </c>
      <c r="AZ278" s="32" t="s">
        <v>577</v>
      </c>
      <c r="BA278" s="42" t="s">
        <v>128</v>
      </c>
      <c r="BC278" s="31">
        <f>AW278+AX278</f>
        <v>0</v>
      </c>
      <c r="BD278" s="31">
        <f>H278/(100-BE278)*100</f>
        <v>0</v>
      </c>
      <c r="BE278" s="31">
        <v>0</v>
      </c>
      <c r="BF278" s="31">
        <f>K278</f>
        <v>0</v>
      </c>
      <c r="BH278" s="31">
        <f>G278*AO278</f>
        <v>0</v>
      </c>
      <c r="BI278" s="31">
        <f>G278*AP278</f>
        <v>0</v>
      </c>
      <c r="BJ278" s="31">
        <f>G278*H278</f>
        <v>0</v>
      </c>
      <c r="BK278" s="31"/>
      <c r="BL278" s="31"/>
      <c r="BW278" s="31">
        <v>21</v>
      </c>
    </row>
    <row r="279" spans="1:47" ht="15" customHeight="1">
      <c r="A279" s="55"/>
      <c r="B279" s="56" t="s">
        <v>85</v>
      </c>
      <c r="C279" s="56" t="s">
        <v>611</v>
      </c>
      <c r="D279" s="122" t="s">
        <v>612</v>
      </c>
      <c r="E279" s="122"/>
      <c r="F279" s="57" t="s">
        <v>79</v>
      </c>
      <c r="G279" s="57" t="s">
        <v>79</v>
      </c>
      <c r="H279" s="57" t="s">
        <v>79</v>
      </c>
      <c r="I279" s="36">
        <f>SUM(I280:I304)</f>
        <v>0</v>
      </c>
      <c r="J279" s="42"/>
      <c r="K279" s="36">
        <f>SUM(K280:K304)</f>
        <v>0</v>
      </c>
      <c r="L279" s="58"/>
      <c r="AI279" s="42" t="s">
        <v>85</v>
      </c>
      <c r="AS279" s="36">
        <f>SUM(AJ280:AJ304)</f>
        <v>0</v>
      </c>
      <c r="AT279" s="36">
        <f>SUM(AK280:AK304)</f>
        <v>0</v>
      </c>
      <c r="AU279" s="36">
        <f>SUM(AL280:AL304)</f>
        <v>0</v>
      </c>
    </row>
    <row r="280" spans="1:75" ht="13.5" customHeight="1">
      <c r="A280" s="30" t="s">
        <v>613</v>
      </c>
      <c r="B280" s="3" t="s">
        <v>85</v>
      </c>
      <c r="C280" s="3" t="s">
        <v>614</v>
      </c>
      <c r="D280" s="78" t="s">
        <v>615</v>
      </c>
      <c r="E280" s="78"/>
      <c r="F280" s="3" t="s">
        <v>609</v>
      </c>
      <c r="G280" s="31">
        <v>51.42</v>
      </c>
      <c r="H280" s="31">
        <v>0</v>
      </c>
      <c r="I280" s="31">
        <f>G280*H280</f>
        <v>0</v>
      </c>
      <c r="J280" s="31">
        <v>0</v>
      </c>
      <c r="K280" s="31">
        <f>G280*J280</f>
        <v>0</v>
      </c>
      <c r="L280" s="59" t="s">
        <v>125</v>
      </c>
      <c r="Z280" s="31">
        <f>IF(AQ280="5",BJ280,0)</f>
        <v>0</v>
      </c>
      <c r="AB280" s="31">
        <f>IF(AQ280="1",BH280,0)</f>
        <v>0</v>
      </c>
      <c r="AC280" s="31">
        <f>IF(AQ280="1",BI280,0)</f>
        <v>0</v>
      </c>
      <c r="AD280" s="31">
        <f>IF(AQ280="7",BH280,0)</f>
        <v>0</v>
      </c>
      <c r="AE280" s="31">
        <f>IF(AQ280="7",BI280,0)</f>
        <v>0</v>
      </c>
      <c r="AF280" s="31">
        <f>IF(AQ280="2",BH280,0)</f>
        <v>0</v>
      </c>
      <c r="AG280" s="31">
        <f>IF(AQ280="2",BI280,0)</f>
        <v>0</v>
      </c>
      <c r="AH280" s="31">
        <f>IF(AQ280="0",BJ280,0)</f>
        <v>0</v>
      </c>
      <c r="AI280" s="42" t="s">
        <v>85</v>
      </c>
      <c r="AJ280" s="31">
        <f>IF(AN280=0,I280,0)</f>
        <v>0</v>
      </c>
      <c r="AK280" s="31">
        <f>IF(AN280=12,I280,0)</f>
        <v>0</v>
      </c>
      <c r="AL280" s="31">
        <f>IF(AN280=21,I280,0)</f>
        <v>0</v>
      </c>
      <c r="AN280" s="31">
        <v>21</v>
      </c>
      <c r="AO280" s="31">
        <f>H280*0</f>
        <v>0</v>
      </c>
      <c r="AP280" s="31">
        <f>H280*(1-0)</f>
        <v>0</v>
      </c>
      <c r="AQ280" s="32" t="s">
        <v>146</v>
      </c>
      <c r="AV280" s="31">
        <f>AW280+AX280</f>
        <v>0</v>
      </c>
      <c r="AW280" s="31">
        <f>G280*AO280</f>
        <v>0</v>
      </c>
      <c r="AX280" s="31">
        <f>G280*AP280</f>
        <v>0</v>
      </c>
      <c r="AY280" s="32" t="s">
        <v>616</v>
      </c>
      <c r="AZ280" s="32" t="s">
        <v>577</v>
      </c>
      <c r="BA280" s="42" t="s">
        <v>128</v>
      </c>
      <c r="BC280" s="31">
        <f>AW280+AX280</f>
        <v>0</v>
      </c>
      <c r="BD280" s="31">
        <f>H280/(100-BE280)*100</f>
        <v>0</v>
      </c>
      <c r="BE280" s="31">
        <v>0</v>
      </c>
      <c r="BF280" s="31">
        <f>K280</f>
        <v>0</v>
      </c>
      <c r="BH280" s="31">
        <f>G280*AO280</f>
        <v>0</v>
      </c>
      <c r="BI280" s="31">
        <f>G280*AP280</f>
        <v>0</v>
      </c>
      <c r="BJ280" s="31">
        <f>G280*H280</f>
        <v>0</v>
      </c>
      <c r="BK280" s="31"/>
      <c r="BL280" s="31"/>
      <c r="BW280" s="31">
        <v>21</v>
      </c>
    </row>
    <row r="281" spans="1:12" ht="15" customHeight="1">
      <c r="A281" s="60"/>
      <c r="D281" s="61" t="s">
        <v>617</v>
      </c>
      <c r="E281" s="62"/>
      <c r="G281" s="63">
        <v>9.940000000000001</v>
      </c>
      <c r="L281" s="64"/>
    </row>
    <row r="282" spans="1:12" ht="15" customHeight="1">
      <c r="A282" s="60"/>
      <c r="D282" s="61" t="s">
        <v>618</v>
      </c>
      <c r="E282" s="62"/>
      <c r="G282" s="63">
        <v>1.9600000000000002</v>
      </c>
      <c r="L282" s="64"/>
    </row>
    <row r="283" spans="1:12" ht="15" customHeight="1">
      <c r="A283" s="60"/>
      <c r="D283" s="61" t="s">
        <v>619</v>
      </c>
      <c r="E283" s="62"/>
      <c r="G283" s="63">
        <v>39.02</v>
      </c>
      <c r="L283" s="64"/>
    </row>
    <row r="284" spans="1:12" ht="15" customHeight="1">
      <c r="A284" s="60"/>
      <c r="D284" s="61" t="s">
        <v>620</v>
      </c>
      <c r="E284" s="62"/>
      <c r="G284" s="63">
        <v>0.1</v>
      </c>
      <c r="L284" s="64"/>
    </row>
    <row r="285" spans="1:12" ht="15" customHeight="1">
      <c r="A285" s="60"/>
      <c r="D285" s="61" t="s">
        <v>621</v>
      </c>
      <c r="E285" s="62"/>
      <c r="G285" s="63">
        <v>0.4</v>
      </c>
      <c r="L285" s="64"/>
    </row>
    <row r="286" spans="1:75" ht="13.5" customHeight="1">
      <c r="A286" s="30" t="s">
        <v>622</v>
      </c>
      <c r="B286" s="3" t="s">
        <v>85</v>
      </c>
      <c r="C286" s="3" t="s">
        <v>623</v>
      </c>
      <c r="D286" s="78" t="s">
        <v>624</v>
      </c>
      <c r="E286" s="78"/>
      <c r="F286" s="3" t="s">
        <v>609</v>
      </c>
      <c r="G286" s="31">
        <v>25.71</v>
      </c>
      <c r="H286" s="31">
        <v>0</v>
      </c>
      <c r="I286" s="31">
        <f>G286*H286</f>
        <v>0</v>
      </c>
      <c r="J286" s="31">
        <v>0</v>
      </c>
      <c r="K286" s="31">
        <f>G286*J286</f>
        <v>0</v>
      </c>
      <c r="L286" s="59" t="s">
        <v>125</v>
      </c>
      <c r="Z286" s="31">
        <f>IF(AQ286="5",BJ286,0)</f>
        <v>0</v>
      </c>
      <c r="AB286" s="31">
        <f>IF(AQ286="1",BH286,0)</f>
        <v>0</v>
      </c>
      <c r="AC286" s="31">
        <f>IF(AQ286="1",BI286,0)</f>
        <v>0</v>
      </c>
      <c r="AD286" s="31">
        <f>IF(AQ286="7",BH286,0)</f>
        <v>0</v>
      </c>
      <c r="AE286" s="31">
        <f>IF(AQ286="7",BI286,0)</f>
        <v>0</v>
      </c>
      <c r="AF286" s="31">
        <f>IF(AQ286="2",BH286,0)</f>
        <v>0</v>
      </c>
      <c r="AG286" s="31">
        <f>IF(AQ286="2",BI286,0)</f>
        <v>0</v>
      </c>
      <c r="AH286" s="31">
        <f>IF(AQ286="0",BJ286,0)</f>
        <v>0</v>
      </c>
      <c r="AI286" s="42" t="s">
        <v>85</v>
      </c>
      <c r="AJ286" s="31">
        <f>IF(AN286=0,I286,0)</f>
        <v>0</v>
      </c>
      <c r="AK286" s="31">
        <f>IF(AN286=12,I286,0)</f>
        <v>0</v>
      </c>
      <c r="AL286" s="31">
        <f>IF(AN286=21,I286,0)</f>
        <v>0</v>
      </c>
      <c r="AN286" s="31">
        <v>21</v>
      </c>
      <c r="AO286" s="31">
        <f>H286*0</f>
        <v>0</v>
      </c>
      <c r="AP286" s="31">
        <f>H286*(1-0)</f>
        <v>0</v>
      </c>
      <c r="AQ286" s="32" t="s">
        <v>146</v>
      </c>
      <c r="AV286" s="31">
        <f>AW286+AX286</f>
        <v>0</v>
      </c>
      <c r="AW286" s="31">
        <f>G286*AO286</f>
        <v>0</v>
      </c>
      <c r="AX286" s="31">
        <f>G286*AP286</f>
        <v>0</v>
      </c>
      <c r="AY286" s="32" t="s">
        <v>616</v>
      </c>
      <c r="AZ286" s="32" t="s">
        <v>577</v>
      </c>
      <c r="BA286" s="42" t="s">
        <v>128</v>
      </c>
      <c r="BC286" s="31">
        <f>AW286+AX286</f>
        <v>0</v>
      </c>
      <c r="BD286" s="31">
        <f>H286/(100-BE286)*100</f>
        <v>0</v>
      </c>
      <c r="BE286" s="31">
        <v>0</v>
      </c>
      <c r="BF286" s="31">
        <f>K286</f>
        <v>0</v>
      </c>
      <c r="BH286" s="31">
        <f>G286*AO286</f>
        <v>0</v>
      </c>
      <c r="BI286" s="31">
        <f>G286*AP286</f>
        <v>0</v>
      </c>
      <c r="BJ286" s="31">
        <f>G286*H286</f>
        <v>0</v>
      </c>
      <c r="BK286" s="31"/>
      <c r="BL286" s="31"/>
      <c r="BW286" s="31">
        <v>21</v>
      </c>
    </row>
    <row r="287" spans="1:12" ht="15" customHeight="1">
      <c r="A287" s="60"/>
      <c r="D287" s="61" t="s">
        <v>625</v>
      </c>
      <c r="E287" s="62"/>
      <c r="G287" s="63">
        <v>25.71</v>
      </c>
      <c r="L287" s="64"/>
    </row>
    <row r="288" spans="1:75" ht="13.5" customHeight="1">
      <c r="A288" s="30" t="s">
        <v>626</v>
      </c>
      <c r="B288" s="3" t="s">
        <v>85</v>
      </c>
      <c r="C288" s="3" t="s">
        <v>627</v>
      </c>
      <c r="D288" s="78" t="s">
        <v>628</v>
      </c>
      <c r="E288" s="78"/>
      <c r="F288" s="3" t="s">
        <v>609</v>
      </c>
      <c r="G288" s="31">
        <v>51.42</v>
      </c>
      <c r="H288" s="31">
        <v>0</v>
      </c>
      <c r="I288" s="31">
        <f>G288*H288</f>
        <v>0</v>
      </c>
      <c r="J288" s="31">
        <v>0</v>
      </c>
      <c r="K288" s="31">
        <f>G288*J288</f>
        <v>0</v>
      </c>
      <c r="L288" s="59" t="s">
        <v>125</v>
      </c>
      <c r="Z288" s="31">
        <f>IF(AQ288="5",BJ288,0)</f>
        <v>0</v>
      </c>
      <c r="AB288" s="31">
        <f>IF(AQ288="1",BH288,0)</f>
        <v>0</v>
      </c>
      <c r="AC288" s="31">
        <f>IF(AQ288="1",BI288,0)</f>
        <v>0</v>
      </c>
      <c r="AD288" s="31">
        <f>IF(AQ288="7",BH288,0)</f>
        <v>0</v>
      </c>
      <c r="AE288" s="31">
        <f>IF(AQ288="7",BI288,0)</f>
        <v>0</v>
      </c>
      <c r="AF288" s="31">
        <f>IF(AQ288="2",BH288,0)</f>
        <v>0</v>
      </c>
      <c r="AG288" s="31">
        <f>IF(AQ288="2",BI288,0)</f>
        <v>0</v>
      </c>
      <c r="AH288" s="31">
        <f>IF(AQ288="0",BJ288,0)</f>
        <v>0</v>
      </c>
      <c r="AI288" s="42" t="s">
        <v>85</v>
      </c>
      <c r="AJ288" s="31">
        <f>IF(AN288=0,I288,0)</f>
        <v>0</v>
      </c>
      <c r="AK288" s="31">
        <f>IF(AN288=12,I288,0)</f>
        <v>0</v>
      </c>
      <c r="AL288" s="31">
        <f>IF(AN288=21,I288,0)</f>
        <v>0</v>
      </c>
      <c r="AN288" s="31">
        <v>21</v>
      </c>
      <c r="AO288" s="31">
        <f>H288*0</f>
        <v>0</v>
      </c>
      <c r="AP288" s="31">
        <f>H288*(1-0)</f>
        <v>0</v>
      </c>
      <c r="AQ288" s="32" t="s">
        <v>146</v>
      </c>
      <c r="AV288" s="31">
        <f>AW288+AX288</f>
        <v>0</v>
      </c>
      <c r="AW288" s="31">
        <f>G288*AO288</f>
        <v>0</v>
      </c>
      <c r="AX288" s="31">
        <f>G288*AP288</f>
        <v>0</v>
      </c>
      <c r="AY288" s="32" t="s">
        <v>616</v>
      </c>
      <c r="AZ288" s="32" t="s">
        <v>577</v>
      </c>
      <c r="BA288" s="42" t="s">
        <v>128</v>
      </c>
      <c r="BC288" s="31">
        <f>AW288+AX288</f>
        <v>0</v>
      </c>
      <c r="BD288" s="31">
        <f>H288/(100-BE288)*100</f>
        <v>0</v>
      </c>
      <c r="BE288" s="31">
        <v>0</v>
      </c>
      <c r="BF288" s="31">
        <f>K288</f>
        <v>0</v>
      </c>
      <c r="BH288" s="31">
        <f>G288*AO288</f>
        <v>0</v>
      </c>
      <c r="BI288" s="31">
        <f>G288*AP288</f>
        <v>0</v>
      </c>
      <c r="BJ288" s="31">
        <f>G288*H288</f>
        <v>0</v>
      </c>
      <c r="BK288" s="31"/>
      <c r="BL288" s="31"/>
      <c r="BW288" s="31">
        <v>21</v>
      </c>
    </row>
    <row r="289" spans="1:12" ht="15" customHeight="1">
      <c r="A289" s="60"/>
      <c r="D289" s="61" t="s">
        <v>629</v>
      </c>
      <c r="E289" s="62"/>
      <c r="G289" s="63">
        <v>51.42</v>
      </c>
      <c r="L289" s="64"/>
    </row>
    <row r="290" spans="1:75" ht="13.5" customHeight="1">
      <c r="A290" s="30" t="s">
        <v>630</v>
      </c>
      <c r="B290" s="3" t="s">
        <v>85</v>
      </c>
      <c r="C290" s="3" t="s">
        <v>631</v>
      </c>
      <c r="D290" s="78" t="s">
        <v>632</v>
      </c>
      <c r="E290" s="78"/>
      <c r="F290" s="3" t="s">
        <v>609</v>
      </c>
      <c r="G290" s="31">
        <v>668.46</v>
      </c>
      <c r="H290" s="31">
        <v>0</v>
      </c>
      <c r="I290" s="31">
        <f>G290*H290</f>
        <v>0</v>
      </c>
      <c r="J290" s="31">
        <v>0</v>
      </c>
      <c r="K290" s="31">
        <f>G290*J290</f>
        <v>0</v>
      </c>
      <c r="L290" s="59" t="s">
        <v>125</v>
      </c>
      <c r="Z290" s="31">
        <f>IF(AQ290="5",BJ290,0)</f>
        <v>0</v>
      </c>
      <c r="AB290" s="31">
        <f>IF(AQ290="1",BH290,0)</f>
        <v>0</v>
      </c>
      <c r="AC290" s="31">
        <f>IF(AQ290="1",BI290,0)</f>
        <v>0</v>
      </c>
      <c r="AD290" s="31">
        <f>IF(AQ290="7",BH290,0)</f>
        <v>0</v>
      </c>
      <c r="AE290" s="31">
        <f>IF(AQ290="7",BI290,0)</f>
        <v>0</v>
      </c>
      <c r="AF290" s="31">
        <f>IF(AQ290="2",BH290,0)</f>
        <v>0</v>
      </c>
      <c r="AG290" s="31">
        <f>IF(AQ290="2",BI290,0)</f>
        <v>0</v>
      </c>
      <c r="AH290" s="31">
        <f>IF(AQ290="0",BJ290,0)</f>
        <v>0</v>
      </c>
      <c r="AI290" s="42" t="s">
        <v>85</v>
      </c>
      <c r="AJ290" s="31">
        <f>IF(AN290=0,I290,0)</f>
        <v>0</v>
      </c>
      <c r="AK290" s="31">
        <f>IF(AN290=12,I290,0)</f>
        <v>0</v>
      </c>
      <c r="AL290" s="31">
        <f>IF(AN290=21,I290,0)</f>
        <v>0</v>
      </c>
      <c r="AN290" s="31">
        <v>21</v>
      </c>
      <c r="AO290" s="31">
        <f>H290*0</f>
        <v>0</v>
      </c>
      <c r="AP290" s="31">
        <f>H290*(1-0)</f>
        <v>0</v>
      </c>
      <c r="AQ290" s="32" t="s">
        <v>146</v>
      </c>
      <c r="AV290" s="31">
        <f>AW290+AX290</f>
        <v>0</v>
      </c>
      <c r="AW290" s="31">
        <f>G290*AO290</f>
        <v>0</v>
      </c>
      <c r="AX290" s="31">
        <f>G290*AP290</f>
        <v>0</v>
      </c>
      <c r="AY290" s="32" t="s">
        <v>616</v>
      </c>
      <c r="AZ290" s="32" t="s">
        <v>577</v>
      </c>
      <c r="BA290" s="42" t="s">
        <v>128</v>
      </c>
      <c r="BC290" s="31">
        <f>AW290+AX290</f>
        <v>0</v>
      </c>
      <c r="BD290" s="31">
        <f>H290/(100-BE290)*100</f>
        <v>0</v>
      </c>
      <c r="BE290" s="31">
        <v>0</v>
      </c>
      <c r="BF290" s="31">
        <f>K290</f>
        <v>0</v>
      </c>
      <c r="BH290" s="31">
        <f>G290*AO290</f>
        <v>0</v>
      </c>
      <c r="BI290" s="31">
        <f>G290*AP290</f>
        <v>0</v>
      </c>
      <c r="BJ290" s="31">
        <f>G290*H290</f>
        <v>0</v>
      </c>
      <c r="BK290" s="31"/>
      <c r="BL290" s="31"/>
      <c r="BW290" s="31">
        <v>21</v>
      </c>
    </row>
    <row r="291" spans="1:12" ht="15" customHeight="1">
      <c r="A291" s="60"/>
      <c r="D291" s="61" t="s">
        <v>633</v>
      </c>
      <c r="E291" s="62"/>
      <c r="G291" s="63">
        <v>668.46</v>
      </c>
      <c r="L291" s="64"/>
    </row>
    <row r="292" spans="1:75" ht="13.5" customHeight="1">
      <c r="A292" s="30" t="s">
        <v>634</v>
      </c>
      <c r="B292" s="3" t="s">
        <v>85</v>
      </c>
      <c r="C292" s="3" t="s">
        <v>635</v>
      </c>
      <c r="D292" s="78" t="s">
        <v>636</v>
      </c>
      <c r="E292" s="78"/>
      <c r="F292" s="3" t="s">
        <v>609</v>
      </c>
      <c r="G292" s="31">
        <v>51.42</v>
      </c>
      <c r="H292" s="31">
        <v>0</v>
      </c>
      <c r="I292" s="31">
        <f>G292*H292</f>
        <v>0</v>
      </c>
      <c r="J292" s="31">
        <v>0</v>
      </c>
      <c r="K292" s="31">
        <f>G292*J292</f>
        <v>0</v>
      </c>
      <c r="L292" s="59" t="s">
        <v>125</v>
      </c>
      <c r="Z292" s="31">
        <f>IF(AQ292="5",BJ292,0)</f>
        <v>0</v>
      </c>
      <c r="AB292" s="31">
        <f>IF(AQ292="1",BH292,0)</f>
        <v>0</v>
      </c>
      <c r="AC292" s="31">
        <f>IF(AQ292="1",BI292,0)</f>
        <v>0</v>
      </c>
      <c r="AD292" s="31">
        <f>IF(AQ292="7",BH292,0)</f>
        <v>0</v>
      </c>
      <c r="AE292" s="31">
        <f>IF(AQ292="7",BI292,0)</f>
        <v>0</v>
      </c>
      <c r="AF292" s="31">
        <f>IF(AQ292="2",BH292,0)</f>
        <v>0</v>
      </c>
      <c r="AG292" s="31">
        <f>IF(AQ292="2",BI292,0)</f>
        <v>0</v>
      </c>
      <c r="AH292" s="31">
        <f>IF(AQ292="0",BJ292,0)</f>
        <v>0</v>
      </c>
      <c r="AI292" s="42" t="s">
        <v>85</v>
      </c>
      <c r="AJ292" s="31">
        <f>IF(AN292=0,I292,0)</f>
        <v>0</v>
      </c>
      <c r="AK292" s="31">
        <f>IF(AN292=12,I292,0)</f>
        <v>0</v>
      </c>
      <c r="AL292" s="31">
        <f>IF(AN292=21,I292,0)</f>
        <v>0</v>
      </c>
      <c r="AN292" s="31">
        <v>21</v>
      </c>
      <c r="AO292" s="31">
        <f>H292*0</f>
        <v>0</v>
      </c>
      <c r="AP292" s="31">
        <f>H292*(1-0)</f>
        <v>0</v>
      </c>
      <c r="AQ292" s="32" t="s">
        <v>146</v>
      </c>
      <c r="AV292" s="31">
        <f>AW292+AX292</f>
        <v>0</v>
      </c>
      <c r="AW292" s="31">
        <f>G292*AO292</f>
        <v>0</v>
      </c>
      <c r="AX292" s="31">
        <f>G292*AP292</f>
        <v>0</v>
      </c>
      <c r="AY292" s="32" t="s">
        <v>616</v>
      </c>
      <c r="AZ292" s="32" t="s">
        <v>577</v>
      </c>
      <c r="BA292" s="42" t="s">
        <v>128</v>
      </c>
      <c r="BC292" s="31">
        <f>AW292+AX292</f>
        <v>0</v>
      </c>
      <c r="BD292" s="31">
        <f>H292/(100-BE292)*100</f>
        <v>0</v>
      </c>
      <c r="BE292" s="31">
        <v>0</v>
      </c>
      <c r="BF292" s="31">
        <f>K292</f>
        <v>0</v>
      </c>
      <c r="BH292" s="31">
        <f>G292*AO292</f>
        <v>0</v>
      </c>
      <c r="BI292" s="31">
        <f>G292*AP292</f>
        <v>0</v>
      </c>
      <c r="BJ292" s="31">
        <f>G292*H292</f>
        <v>0</v>
      </c>
      <c r="BK292" s="31"/>
      <c r="BL292" s="31"/>
      <c r="BW292" s="31">
        <v>21</v>
      </c>
    </row>
    <row r="293" spans="1:12" ht="15" customHeight="1">
      <c r="A293" s="60"/>
      <c r="D293" s="61" t="s">
        <v>629</v>
      </c>
      <c r="E293" s="62"/>
      <c r="G293" s="63">
        <v>51.42</v>
      </c>
      <c r="L293" s="64"/>
    </row>
    <row r="294" spans="1:75" ht="13.5" customHeight="1">
      <c r="A294" s="30" t="s">
        <v>637</v>
      </c>
      <c r="B294" s="3" t="s">
        <v>85</v>
      </c>
      <c r="C294" s="3" t="s">
        <v>638</v>
      </c>
      <c r="D294" s="78" t="s">
        <v>639</v>
      </c>
      <c r="E294" s="78"/>
      <c r="F294" s="3" t="s">
        <v>609</v>
      </c>
      <c r="G294" s="31">
        <v>102.84</v>
      </c>
      <c r="H294" s="31">
        <v>0</v>
      </c>
      <c r="I294" s="31">
        <f>G294*H294</f>
        <v>0</v>
      </c>
      <c r="J294" s="31">
        <v>0</v>
      </c>
      <c r="K294" s="31">
        <f>G294*J294</f>
        <v>0</v>
      </c>
      <c r="L294" s="59" t="s">
        <v>125</v>
      </c>
      <c r="Z294" s="31">
        <f>IF(AQ294="5",BJ294,0)</f>
        <v>0</v>
      </c>
      <c r="AB294" s="31">
        <f>IF(AQ294="1",BH294,0)</f>
        <v>0</v>
      </c>
      <c r="AC294" s="31">
        <f>IF(AQ294="1",BI294,0)</f>
        <v>0</v>
      </c>
      <c r="AD294" s="31">
        <f>IF(AQ294="7",BH294,0)</f>
        <v>0</v>
      </c>
      <c r="AE294" s="31">
        <f>IF(AQ294="7",BI294,0)</f>
        <v>0</v>
      </c>
      <c r="AF294" s="31">
        <f>IF(AQ294="2",BH294,0)</f>
        <v>0</v>
      </c>
      <c r="AG294" s="31">
        <f>IF(AQ294="2",BI294,0)</f>
        <v>0</v>
      </c>
      <c r="AH294" s="31">
        <f>IF(AQ294="0",BJ294,0)</f>
        <v>0</v>
      </c>
      <c r="AI294" s="42" t="s">
        <v>85</v>
      </c>
      <c r="AJ294" s="31">
        <f>IF(AN294=0,I294,0)</f>
        <v>0</v>
      </c>
      <c r="AK294" s="31">
        <f>IF(AN294=12,I294,0)</f>
        <v>0</v>
      </c>
      <c r="AL294" s="31">
        <f>IF(AN294=21,I294,0)</f>
        <v>0</v>
      </c>
      <c r="AN294" s="31">
        <v>21</v>
      </c>
      <c r="AO294" s="31">
        <f>H294*0</f>
        <v>0</v>
      </c>
      <c r="AP294" s="31">
        <f>H294*(1-0)</f>
        <v>0</v>
      </c>
      <c r="AQ294" s="32" t="s">
        <v>146</v>
      </c>
      <c r="AV294" s="31">
        <f>AW294+AX294</f>
        <v>0</v>
      </c>
      <c r="AW294" s="31">
        <f>G294*AO294</f>
        <v>0</v>
      </c>
      <c r="AX294" s="31">
        <f>G294*AP294</f>
        <v>0</v>
      </c>
      <c r="AY294" s="32" t="s">
        <v>616</v>
      </c>
      <c r="AZ294" s="32" t="s">
        <v>577</v>
      </c>
      <c r="BA294" s="42" t="s">
        <v>128</v>
      </c>
      <c r="BC294" s="31">
        <f>AW294+AX294</f>
        <v>0</v>
      </c>
      <c r="BD294" s="31">
        <f>H294/(100-BE294)*100</f>
        <v>0</v>
      </c>
      <c r="BE294" s="31">
        <v>0</v>
      </c>
      <c r="BF294" s="31">
        <f>K294</f>
        <v>0</v>
      </c>
      <c r="BH294" s="31">
        <f>G294*AO294</f>
        <v>0</v>
      </c>
      <c r="BI294" s="31">
        <f>G294*AP294</f>
        <v>0</v>
      </c>
      <c r="BJ294" s="31">
        <f>G294*H294</f>
        <v>0</v>
      </c>
      <c r="BK294" s="31"/>
      <c r="BL294" s="31"/>
      <c r="BW294" s="31">
        <v>21</v>
      </c>
    </row>
    <row r="295" spans="1:12" ht="15" customHeight="1">
      <c r="A295" s="60"/>
      <c r="D295" s="61" t="s">
        <v>640</v>
      </c>
      <c r="E295" s="62"/>
      <c r="G295" s="63">
        <v>102.84</v>
      </c>
      <c r="L295" s="64"/>
    </row>
    <row r="296" spans="1:75" ht="13.5" customHeight="1">
      <c r="A296" s="30" t="s">
        <v>641</v>
      </c>
      <c r="B296" s="3" t="s">
        <v>85</v>
      </c>
      <c r="C296" s="3" t="s">
        <v>642</v>
      </c>
      <c r="D296" s="78" t="s">
        <v>643</v>
      </c>
      <c r="E296" s="78"/>
      <c r="F296" s="3" t="s">
        <v>609</v>
      </c>
      <c r="G296" s="31">
        <v>51.42</v>
      </c>
      <c r="H296" s="31">
        <v>0</v>
      </c>
      <c r="I296" s="31">
        <f>G296*H296</f>
        <v>0</v>
      </c>
      <c r="J296" s="31">
        <v>0</v>
      </c>
      <c r="K296" s="31">
        <f>G296*J296</f>
        <v>0</v>
      </c>
      <c r="L296" s="59" t="s">
        <v>125</v>
      </c>
      <c r="Z296" s="31">
        <f>IF(AQ296="5",BJ296,0)</f>
        <v>0</v>
      </c>
      <c r="AB296" s="31">
        <f>IF(AQ296="1",BH296,0)</f>
        <v>0</v>
      </c>
      <c r="AC296" s="31">
        <f>IF(AQ296="1",BI296,0)</f>
        <v>0</v>
      </c>
      <c r="AD296" s="31">
        <f>IF(AQ296="7",BH296,0)</f>
        <v>0</v>
      </c>
      <c r="AE296" s="31">
        <f>IF(AQ296="7",BI296,0)</f>
        <v>0</v>
      </c>
      <c r="AF296" s="31">
        <f>IF(AQ296="2",BH296,0)</f>
        <v>0</v>
      </c>
      <c r="AG296" s="31">
        <f>IF(AQ296="2",BI296,0)</f>
        <v>0</v>
      </c>
      <c r="AH296" s="31">
        <f>IF(AQ296="0",BJ296,0)</f>
        <v>0</v>
      </c>
      <c r="AI296" s="42" t="s">
        <v>85</v>
      </c>
      <c r="AJ296" s="31">
        <f>IF(AN296=0,I296,0)</f>
        <v>0</v>
      </c>
      <c r="AK296" s="31">
        <f>IF(AN296=12,I296,0)</f>
        <v>0</v>
      </c>
      <c r="AL296" s="31">
        <f>IF(AN296=21,I296,0)</f>
        <v>0</v>
      </c>
      <c r="AN296" s="31">
        <v>21</v>
      </c>
      <c r="AO296" s="31">
        <f>H296*0</f>
        <v>0</v>
      </c>
      <c r="AP296" s="31">
        <f>H296*(1-0)</f>
        <v>0</v>
      </c>
      <c r="AQ296" s="32" t="s">
        <v>146</v>
      </c>
      <c r="AV296" s="31">
        <f>AW296+AX296</f>
        <v>0</v>
      </c>
      <c r="AW296" s="31">
        <f>G296*AO296</f>
        <v>0</v>
      </c>
      <c r="AX296" s="31">
        <f>G296*AP296</f>
        <v>0</v>
      </c>
      <c r="AY296" s="32" t="s">
        <v>616</v>
      </c>
      <c r="AZ296" s="32" t="s">
        <v>577</v>
      </c>
      <c r="BA296" s="42" t="s">
        <v>128</v>
      </c>
      <c r="BC296" s="31">
        <f>AW296+AX296</f>
        <v>0</v>
      </c>
      <c r="BD296" s="31">
        <f>H296/(100-BE296)*100</f>
        <v>0</v>
      </c>
      <c r="BE296" s="31">
        <v>0</v>
      </c>
      <c r="BF296" s="31">
        <f>K296</f>
        <v>0</v>
      </c>
      <c r="BH296" s="31">
        <f>G296*AO296</f>
        <v>0</v>
      </c>
      <c r="BI296" s="31">
        <f>G296*AP296</f>
        <v>0</v>
      </c>
      <c r="BJ296" s="31">
        <f>G296*H296</f>
        <v>0</v>
      </c>
      <c r="BK296" s="31"/>
      <c r="BL296" s="31"/>
      <c r="BW296" s="31">
        <v>21</v>
      </c>
    </row>
    <row r="297" spans="1:12" ht="15" customHeight="1">
      <c r="A297" s="60"/>
      <c r="D297" s="61" t="s">
        <v>629</v>
      </c>
      <c r="E297" s="62"/>
      <c r="G297" s="63">
        <v>51.42</v>
      </c>
      <c r="L297" s="64"/>
    </row>
    <row r="298" spans="1:75" ht="13.5" customHeight="1">
      <c r="A298" s="30" t="s">
        <v>644</v>
      </c>
      <c r="B298" s="3" t="s">
        <v>85</v>
      </c>
      <c r="C298" s="3" t="s">
        <v>645</v>
      </c>
      <c r="D298" s="78" t="s">
        <v>646</v>
      </c>
      <c r="E298" s="78"/>
      <c r="F298" s="3" t="s">
        <v>609</v>
      </c>
      <c r="G298" s="31">
        <v>9.94</v>
      </c>
      <c r="H298" s="31">
        <v>0</v>
      </c>
      <c r="I298" s="31">
        <f>G298*H298</f>
        <v>0</v>
      </c>
      <c r="J298" s="31">
        <v>0</v>
      </c>
      <c r="K298" s="31">
        <f>G298*J298</f>
        <v>0</v>
      </c>
      <c r="L298" s="59" t="s">
        <v>125</v>
      </c>
      <c r="Z298" s="31">
        <f>IF(AQ298="5",BJ298,0)</f>
        <v>0</v>
      </c>
      <c r="AB298" s="31">
        <f>IF(AQ298="1",BH298,0)</f>
        <v>0</v>
      </c>
      <c r="AC298" s="31">
        <f>IF(AQ298="1",BI298,0)</f>
        <v>0</v>
      </c>
      <c r="AD298" s="31">
        <f>IF(AQ298="7",BH298,0)</f>
        <v>0</v>
      </c>
      <c r="AE298" s="31">
        <f>IF(AQ298="7",BI298,0)</f>
        <v>0</v>
      </c>
      <c r="AF298" s="31">
        <f>IF(AQ298="2",BH298,0)</f>
        <v>0</v>
      </c>
      <c r="AG298" s="31">
        <f>IF(AQ298="2",BI298,0)</f>
        <v>0</v>
      </c>
      <c r="AH298" s="31">
        <f>IF(AQ298="0",BJ298,0)</f>
        <v>0</v>
      </c>
      <c r="AI298" s="42" t="s">
        <v>85</v>
      </c>
      <c r="AJ298" s="31">
        <f>IF(AN298=0,I298,0)</f>
        <v>0</v>
      </c>
      <c r="AK298" s="31">
        <f>IF(AN298=12,I298,0)</f>
        <v>0</v>
      </c>
      <c r="AL298" s="31">
        <f>IF(AN298=21,I298,0)</f>
        <v>0</v>
      </c>
      <c r="AN298" s="31">
        <v>21</v>
      </c>
      <c r="AO298" s="31">
        <f>H298*0</f>
        <v>0</v>
      </c>
      <c r="AP298" s="31">
        <f>H298*(1-0)</f>
        <v>0</v>
      </c>
      <c r="AQ298" s="32" t="s">
        <v>146</v>
      </c>
      <c r="AV298" s="31">
        <f>AW298+AX298</f>
        <v>0</v>
      </c>
      <c r="AW298" s="31">
        <f>G298*AO298</f>
        <v>0</v>
      </c>
      <c r="AX298" s="31">
        <f>G298*AP298</f>
        <v>0</v>
      </c>
      <c r="AY298" s="32" t="s">
        <v>616</v>
      </c>
      <c r="AZ298" s="32" t="s">
        <v>577</v>
      </c>
      <c r="BA298" s="42" t="s">
        <v>128</v>
      </c>
      <c r="BC298" s="31">
        <f>AW298+AX298</f>
        <v>0</v>
      </c>
      <c r="BD298" s="31">
        <f>H298/(100-BE298)*100</f>
        <v>0</v>
      </c>
      <c r="BE298" s="31">
        <v>0</v>
      </c>
      <c r="BF298" s="31">
        <f>K298</f>
        <v>0</v>
      </c>
      <c r="BH298" s="31">
        <f>G298*AO298</f>
        <v>0</v>
      </c>
      <c r="BI298" s="31">
        <f>G298*AP298</f>
        <v>0</v>
      </c>
      <c r="BJ298" s="31">
        <f>G298*H298</f>
        <v>0</v>
      </c>
      <c r="BK298" s="31"/>
      <c r="BL298" s="31"/>
      <c r="BW298" s="31">
        <v>21</v>
      </c>
    </row>
    <row r="299" spans="1:12" ht="15" customHeight="1">
      <c r="A299" s="60"/>
      <c r="D299" s="61" t="s">
        <v>617</v>
      </c>
      <c r="E299" s="62"/>
      <c r="G299" s="63">
        <v>9.940000000000001</v>
      </c>
      <c r="L299" s="64"/>
    </row>
    <row r="300" spans="1:75" ht="13.5" customHeight="1">
      <c r="A300" s="30" t="s">
        <v>647</v>
      </c>
      <c r="B300" s="3" t="s">
        <v>85</v>
      </c>
      <c r="C300" s="3" t="s">
        <v>648</v>
      </c>
      <c r="D300" s="78" t="s">
        <v>649</v>
      </c>
      <c r="E300" s="78"/>
      <c r="F300" s="3" t="s">
        <v>609</v>
      </c>
      <c r="G300" s="31">
        <v>39.02</v>
      </c>
      <c r="H300" s="31">
        <v>0</v>
      </c>
      <c r="I300" s="31">
        <f>G300*H300</f>
        <v>0</v>
      </c>
      <c r="J300" s="31">
        <v>0</v>
      </c>
      <c r="K300" s="31">
        <f>G300*J300</f>
        <v>0</v>
      </c>
      <c r="L300" s="59" t="s">
        <v>125</v>
      </c>
      <c r="Z300" s="31">
        <f>IF(AQ300="5",BJ300,0)</f>
        <v>0</v>
      </c>
      <c r="AB300" s="31">
        <f>IF(AQ300="1",BH300,0)</f>
        <v>0</v>
      </c>
      <c r="AC300" s="31">
        <f>IF(AQ300="1",BI300,0)</f>
        <v>0</v>
      </c>
      <c r="AD300" s="31">
        <f>IF(AQ300="7",BH300,0)</f>
        <v>0</v>
      </c>
      <c r="AE300" s="31">
        <f>IF(AQ300="7",BI300,0)</f>
        <v>0</v>
      </c>
      <c r="AF300" s="31">
        <f>IF(AQ300="2",BH300,0)</f>
        <v>0</v>
      </c>
      <c r="AG300" s="31">
        <f>IF(AQ300="2",BI300,0)</f>
        <v>0</v>
      </c>
      <c r="AH300" s="31">
        <f>IF(AQ300="0",BJ300,0)</f>
        <v>0</v>
      </c>
      <c r="AI300" s="42" t="s">
        <v>85</v>
      </c>
      <c r="AJ300" s="31">
        <f>IF(AN300=0,I300,0)</f>
        <v>0</v>
      </c>
      <c r="AK300" s="31">
        <f>IF(AN300=12,I300,0)</f>
        <v>0</v>
      </c>
      <c r="AL300" s="31">
        <f>IF(AN300=21,I300,0)</f>
        <v>0</v>
      </c>
      <c r="AN300" s="31">
        <v>21</v>
      </c>
      <c r="AO300" s="31">
        <f>H300*0</f>
        <v>0</v>
      </c>
      <c r="AP300" s="31">
        <f>H300*(1-0)</f>
        <v>0</v>
      </c>
      <c r="AQ300" s="32" t="s">
        <v>146</v>
      </c>
      <c r="AV300" s="31">
        <f>AW300+AX300</f>
        <v>0</v>
      </c>
      <c r="AW300" s="31">
        <f>G300*AO300</f>
        <v>0</v>
      </c>
      <c r="AX300" s="31">
        <f>G300*AP300</f>
        <v>0</v>
      </c>
      <c r="AY300" s="32" t="s">
        <v>616</v>
      </c>
      <c r="AZ300" s="32" t="s">
        <v>577</v>
      </c>
      <c r="BA300" s="42" t="s">
        <v>128</v>
      </c>
      <c r="BC300" s="31">
        <f>AW300+AX300</f>
        <v>0</v>
      </c>
      <c r="BD300" s="31">
        <f>H300/(100-BE300)*100</f>
        <v>0</v>
      </c>
      <c r="BE300" s="31">
        <v>0</v>
      </c>
      <c r="BF300" s="31">
        <f>K300</f>
        <v>0</v>
      </c>
      <c r="BH300" s="31">
        <f>G300*AO300</f>
        <v>0</v>
      </c>
      <c r="BI300" s="31">
        <f>G300*AP300</f>
        <v>0</v>
      </c>
      <c r="BJ300" s="31">
        <f>G300*H300</f>
        <v>0</v>
      </c>
      <c r="BK300" s="31"/>
      <c r="BL300" s="31"/>
      <c r="BW300" s="31">
        <v>21</v>
      </c>
    </row>
    <row r="301" spans="1:12" ht="15" customHeight="1">
      <c r="A301" s="60"/>
      <c r="D301" s="61" t="s">
        <v>619</v>
      </c>
      <c r="E301" s="62"/>
      <c r="G301" s="63">
        <v>39.02</v>
      </c>
      <c r="L301" s="64"/>
    </row>
    <row r="302" spans="1:75" ht="13.5" customHeight="1">
      <c r="A302" s="30" t="s">
        <v>650</v>
      </c>
      <c r="B302" s="3" t="s">
        <v>85</v>
      </c>
      <c r="C302" s="3" t="s">
        <v>651</v>
      </c>
      <c r="D302" s="78" t="s">
        <v>652</v>
      </c>
      <c r="E302" s="78"/>
      <c r="F302" s="3" t="s">
        <v>609</v>
      </c>
      <c r="G302" s="31">
        <v>1.96</v>
      </c>
      <c r="H302" s="31">
        <v>0</v>
      </c>
      <c r="I302" s="31">
        <f>G302*H302</f>
        <v>0</v>
      </c>
      <c r="J302" s="31">
        <v>0</v>
      </c>
      <c r="K302" s="31">
        <f>G302*J302</f>
        <v>0</v>
      </c>
      <c r="L302" s="59" t="s">
        <v>125</v>
      </c>
      <c r="Z302" s="31">
        <f>IF(AQ302="5",BJ302,0)</f>
        <v>0</v>
      </c>
      <c r="AB302" s="31">
        <f>IF(AQ302="1",BH302,0)</f>
        <v>0</v>
      </c>
      <c r="AC302" s="31">
        <f>IF(AQ302="1",BI302,0)</f>
        <v>0</v>
      </c>
      <c r="AD302" s="31">
        <f>IF(AQ302="7",BH302,0)</f>
        <v>0</v>
      </c>
      <c r="AE302" s="31">
        <f>IF(AQ302="7",BI302,0)</f>
        <v>0</v>
      </c>
      <c r="AF302" s="31">
        <f>IF(AQ302="2",BH302,0)</f>
        <v>0</v>
      </c>
      <c r="AG302" s="31">
        <f>IF(AQ302="2",BI302,0)</f>
        <v>0</v>
      </c>
      <c r="AH302" s="31">
        <f>IF(AQ302="0",BJ302,0)</f>
        <v>0</v>
      </c>
      <c r="AI302" s="42" t="s">
        <v>85</v>
      </c>
      <c r="AJ302" s="31">
        <f>IF(AN302=0,I302,0)</f>
        <v>0</v>
      </c>
      <c r="AK302" s="31">
        <f>IF(AN302=12,I302,0)</f>
        <v>0</v>
      </c>
      <c r="AL302" s="31">
        <f>IF(AN302=21,I302,0)</f>
        <v>0</v>
      </c>
      <c r="AN302" s="31">
        <v>21</v>
      </c>
      <c r="AO302" s="31">
        <f>H302*0</f>
        <v>0</v>
      </c>
      <c r="AP302" s="31">
        <f>H302*(1-0)</f>
        <v>0</v>
      </c>
      <c r="AQ302" s="32" t="s">
        <v>146</v>
      </c>
      <c r="AV302" s="31">
        <f>AW302+AX302</f>
        <v>0</v>
      </c>
      <c r="AW302" s="31">
        <f>G302*AO302</f>
        <v>0</v>
      </c>
      <c r="AX302" s="31">
        <f>G302*AP302</f>
        <v>0</v>
      </c>
      <c r="AY302" s="32" t="s">
        <v>616</v>
      </c>
      <c r="AZ302" s="32" t="s">
        <v>577</v>
      </c>
      <c r="BA302" s="42" t="s">
        <v>128</v>
      </c>
      <c r="BC302" s="31">
        <f>AW302+AX302</f>
        <v>0</v>
      </c>
      <c r="BD302" s="31">
        <f>H302/(100-BE302)*100</f>
        <v>0</v>
      </c>
      <c r="BE302" s="31">
        <v>0</v>
      </c>
      <c r="BF302" s="31">
        <f>K302</f>
        <v>0</v>
      </c>
      <c r="BH302" s="31">
        <f>G302*AO302</f>
        <v>0</v>
      </c>
      <c r="BI302" s="31">
        <f>G302*AP302</f>
        <v>0</v>
      </c>
      <c r="BJ302" s="31">
        <f>G302*H302</f>
        <v>0</v>
      </c>
      <c r="BK302" s="31"/>
      <c r="BL302" s="31"/>
      <c r="BW302" s="31">
        <v>21</v>
      </c>
    </row>
    <row r="303" spans="1:12" ht="15" customHeight="1">
      <c r="A303" s="60"/>
      <c r="D303" s="61" t="s">
        <v>618</v>
      </c>
      <c r="E303" s="62"/>
      <c r="G303" s="63">
        <v>1.9600000000000002</v>
      </c>
      <c r="L303" s="64"/>
    </row>
    <row r="304" spans="1:75" ht="13.5" customHeight="1">
      <c r="A304" s="30" t="s">
        <v>653</v>
      </c>
      <c r="B304" s="3" t="s">
        <v>85</v>
      </c>
      <c r="C304" s="3" t="s">
        <v>654</v>
      </c>
      <c r="D304" s="78" t="s">
        <v>655</v>
      </c>
      <c r="E304" s="78"/>
      <c r="F304" s="3" t="s">
        <v>609</v>
      </c>
      <c r="G304" s="31">
        <v>0.5</v>
      </c>
      <c r="H304" s="31">
        <v>0</v>
      </c>
      <c r="I304" s="31">
        <f>G304*H304</f>
        <v>0</v>
      </c>
      <c r="J304" s="31">
        <v>0</v>
      </c>
      <c r="K304" s="31">
        <f>G304*J304</f>
        <v>0</v>
      </c>
      <c r="L304" s="59" t="s">
        <v>125</v>
      </c>
      <c r="Z304" s="31">
        <f>IF(AQ304="5",BJ304,0)</f>
        <v>0</v>
      </c>
      <c r="AB304" s="31">
        <f>IF(AQ304="1",BH304,0)</f>
        <v>0</v>
      </c>
      <c r="AC304" s="31">
        <f>IF(AQ304="1",BI304,0)</f>
        <v>0</v>
      </c>
      <c r="AD304" s="31">
        <f>IF(AQ304="7",BH304,0)</f>
        <v>0</v>
      </c>
      <c r="AE304" s="31">
        <f>IF(AQ304="7",BI304,0)</f>
        <v>0</v>
      </c>
      <c r="AF304" s="31">
        <f>IF(AQ304="2",BH304,0)</f>
        <v>0</v>
      </c>
      <c r="AG304" s="31">
        <f>IF(AQ304="2",BI304,0)</f>
        <v>0</v>
      </c>
      <c r="AH304" s="31">
        <f>IF(AQ304="0",BJ304,0)</f>
        <v>0</v>
      </c>
      <c r="AI304" s="42" t="s">
        <v>85</v>
      </c>
      <c r="AJ304" s="31">
        <f>IF(AN304=0,I304,0)</f>
        <v>0</v>
      </c>
      <c r="AK304" s="31">
        <f>IF(AN304=12,I304,0)</f>
        <v>0</v>
      </c>
      <c r="AL304" s="31">
        <f>IF(AN304=21,I304,0)</f>
        <v>0</v>
      </c>
      <c r="AN304" s="31">
        <v>21</v>
      </c>
      <c r="AO304" s="31">
        <f>H304*0</f>
        <v>0</v>
      </c>
      <c r="AP304" s="31">
        <f>H304*(1-0)</f>
        <v>0</v>
      </c>
      <c r="AQ304" s="32" t="s">
        <v>146</v>
      </c>
      <c r="AV304" s="31">
        <f>AW304+AX304</f>
        <v>0</v>
      </c>
      <c r="AW304" s="31">
        <f>G304*AO304</f>
        <v>0</v>
      </c>
      <c r="AX304" s="31">
        <f>G304*AP304</f>
        <v>0</v>
      </c>
      <c r="AY304" s="32" t="s">
        <v>616</v>
      </c>
      <c r="AZ304" s="32" t="s">
        <v>577</v>
      </c>
      <c r="BA304" s="42" t="s">
        <v>128</v>
      </c>
      <c r="BC304" s="31">
        <f>AW304+AX304</f>
        <v>0</v>
      </c>
      <c r="BD304" s="31">
        <f>H304/(100-BE304)*100</f>
        <v>0</v>
      </c>
      <c r="BE304" s="31">
        <v>0</v>
      </c>
      <c r="BF304" s="31">
        <f>K304</f>
        <v>0</v>
      </c>
      <c r="BH304" s="31">
        <f>G304*AO304</f>
        <v>0</v>
      </c>
      <c r="BI304" s="31">
        <f>G304*AP304</f>
        <v>0</v>
      </c>
      <c r="BJ304" s="31">
        <f>G304*H304</f>
        <v>0</v>
      </c>
      <c r="BK304" s="31"/>
      <c r="BL304" s="31"/>
      <c r="BW304" s="31">
        <v>21</v>
      </c>
    </row>
    <row r="305" spans="1:12" ht="15" customHeight="1">
      <c r="A305" s="60"/>
      <c r="D305" s="61" t="s">
        <v>656</v>
      </c>
      <c r="E305" s="62"/>
      <c r="G305" s="63">
        <v>0.5</v>
      </c>
      <c r="L305" s="64"/>
    </row>
    <row r="306" spans="1:12" ht="15" customHeight="1">
      <c r="A306" s="49"/>
      <c r="B306" s="50" t="s">
        <v>88</v>
      </c>
      <c r="C306" s="50"/>
      <c r="D306" s="121" t="s">
        <v>89</v>
      </c>
      <c r="E306" s="121"/>
      <c r="F306" s="51" t="s">
        <v>79</v>
      </c>
      <c r="G306" s="51" t="s">
        <v>79</v>
      </c>
      <c r="H306" s="51" t="s">
        <v>79</v>
      </c>
      <c r="I306" s="52">
        <f>I307</f>
        <v>0</v>
      </c>
      <c r="J306" s="53"/>
      <c r="K306" s="52">
        <f>K307</f>
        <v>0</v>
      </c>
      <c r="L306" s="54"/>
    </row>
    <row r="307" spans="1:47" ht="15" customHeight="1">
      <c r="A307" s="55"/>
      <c r="B307" s="56" t="s">
        <v>88</v>
      </c>
      <c r="C307" s="56" t="s">
        <v>658</v>
      </c>
      <c r="D307" s="122" t="s">
        <v>659</v>
      </c>
      <c r="E307" s="122"/>
      <c r="F307" s="57" t="s">
        <v>79</v>
      </c>
      <c r="G307" s="57" t="s">
        <v>79</v>
      </c>
      <c r="H307" s="57" t="s">
        <v>79</v>
      </c>
      <c r="I307" s="36">
        <f>SUM(I308:I308)</f>
        <v>0</v>
      </c>
      <c r="J307" s="42"/>
      <c r="K307" s="36">
        <f>SUM(K308:K308)</f>
        <v>0</v>
      </c>
      <c r="L307" s="58"/>
      <c r="AI307" s="42" t="s">
        <v>88</v>
      </c>
      <c r="AS307" s="36">
        <f>SUM(AJ308:AJ308)</f>
        <v>0</v>
      </c>
      <c r="AT307" s="36">
        <f>SUM(AK308:AK308)</f>
        <v>0</v>
      </c>
      <c r="AU307" s="36">
        <f>SUM(AL308:AL308)</f>
        <v>0</v>
      </c>
    </row>
    <row r="308" spans="1:75" ht="13.5" customHeight="1">
      <c r="A308" s="30" t="s">
        <v>706</v>
      </c>
      <c r="B308" s="3" t="s">
        <v>88</v>
      </c>
      <c r="C308" s="3" t="s">
        <v>660</v>
      </c>
      <c r="D308" s="78" t="s">
        <v>661</v>
      </c>
      <c r="E308" s="78"/>
      <c r="F308" s="3" t="s">
        <v>449</v>
      </c>
      <c r="G308" s="31">
        <v>1</v>
      </c>
      <c r="H308" s="31">
        <v>0</v>
      </c>
      <c r="I308" s="31">
        <f>G308*H308</f>
        <v>0</v>
      </c>
      <c r="J308" s="31">
        <v>0</v>
      </c>
      <c r="K308" s="31">
        <f>G308*J308</f>
        <v>0</v>
      </c>
      <c r="L308" s="59"/>
      <c r="Z308" s="31">
        <f>IF(AQ308="5",BJ308,0)</f>
        <v>0</v>
      </c>
      <c r="AB308" s="31">
        <f>IF(AQ308="1",BH308,0)</f>
        <v>0</v>
      </c>
      <c r="AC308" s="31">
        <f>IF(AQ308="1",BI308,0)</f>
        <v>0</v>
      </c>
      <c r="AD308" s="31">
        <f>IF(AQ308="7",BH308,0)</f>
        <v>0</v>
      </c>
      <c r="AE308" s="31">
        <f>IF(AQ308="7",BI308,0)</f>
        <v>0</v>
      </c>
      <c r="AF308" s="31">
        <f>IF(AQ308="2",BH308,0)</f>
        <v>0</v>
      </c>
      <c r="AG308" s="31">
        <f>IF(AQ308="2",BI308,0)</f>
        <v>0</v>
      </c>
      <c r="AH308" s="31">
        <f>IF(AQ308="0",BJ308,0)</f>
        <v>0</v>
      </c>
      <c r="AI308" s="42" t="s">
        <v>88</v>
      </c>
      <c r="AJ308" s="31">
        <f>IF(AN308=0,I308,0)</f>
        <v>0</v>
      </c>
      <c r="AK308" s="31">
        <f>IF(AN308=12,I308,0)</f>
        <v>0</v>
      </c>
      <c r="AL308" s="31">
        <f>IF(AN308=21,I308,0)</f>
        <v>0</v>
      </c>
      <c r="AN308" s="31">
        <v>21</v>
      </c>
      <c r="AO308" s="31">
        <f>H308*0</f>
        <v>0</v>
      </c>
      <c r="AP308" s="31">
        <f>H308*(1-0)</f>
        <v>0</v>
      </c>
      <c r="AQ308" s="32" t="s">
        <v>130</v>
      </c>
      <c r="AV308" s="31">
        <f>AW308+AX308</f>
        <v>0</v>
      </c>
      <c r="AW308" s="31">
        <f>G308*AO308</f>
        <v>0</v>
      </c>
      <c r="AX308" s="31">
        <f>G308*AP308</f>
        <v>0</v>
      </c>
      <c r="AY308" s="32" t="s">
        <v>662</v>
      </c>
      <c r="AZ308" s="32" t="s">
        <v>663</v>
      </c>
      <c r="BA308" s="42" t="s">
        <v>664</v>
      </c>
      <c r="BC308" s="31">
        <f>AW308+AX308</f>
        <v>0</v>
      </c>
      <c r="BD308" s="31">
        <f>H308/(100-BE308)*100</f>
        <v>0</v>
      </c>
      <c r="BE308" s="31">
        <v>0</v>
      </c>
      <c r="BF308" s="31">
        <f>K308</f>
        <v>0</v>
      </c>
      <c r="BH308" s="31">
        <f>G308*AO308</f>
        <v>0</v>
      </c>
      <c r="BI308" s="31">
        <f>G308*AP308</f>
        <v>0</v>
      </c>
      <c r="BJ308" s="31">
        <f>G308*H308</f>
        <v>0</v>
      </c>
      <c r="BK308" s="31"/>
      <c r="BL308" s="31"/>
      <c r="BW308" s="31">
        <v>21</v>
      </c>
    </row>
    <row r="309" spans="1:12" ht="15" customHeight="1">
      <c r="A309" s="60"/>
      <c r="D309" s="61" t="s">
        <v>121</v>
      </c>
      <c r="E309" s="62"/>
      <c r="G309" s="63">
        <v>1</v>
      </c>
      <c r="L309" s="64"/>
    </row>
    <row r="310" spans="1:12" ht="15" customHeight="1">
      <c r="A310" s="49"/>
      <c r="B310" s="50" t="s">
        <v>90</v>
      </c>
      <c r="C310" s="50"/>
      <c r="D310" s="121" t="s">
        <v>90</v>
      </c>
      <c r="E310" s="121"/>
      <c r="F310" s="51" t="s">
        <v>79</v>
      </c>
      <c r="G310" s="51" t="s">
        <v>79</v>
      </c>
      <c r="H310" s="51" t="s">
        <v>79</v>
      </c>
      <c r="I310" s="52">
        <f>I312+I317+I320+I323+I328</f>
        <v>0</v>
      </c>
      <c r="J310" s="53"/>
      <c r="K310" s="52">
        <f>K312+K317+K320+K323+K328</f>
        <v>0</v>
      </c>
      <c r="L310" s="54"/>
    </row>
    <row r="311" spans="1:35" ht="15" customHeight="1">
      <c r="A311" s="55"/>
      <c r="B311" s="56" t="s">
        <v>90</v>
      </c>
      <c r="C311" s="56"/>
      <c r="D311" s="122" t="s">
        <v>667</v>
      </c>
      <c r="E311" s="122"/>
      <c r="F311" s="57" t="s">
        <v>79</v>
      </c>
      <c r="G311" s="57" t="s">
        <v>79</v>
      </c>
      <c r="H311" s="57" t="s">
        <v>79</v>
      </c>
      <c r="I311" s="36">
        <f>I312+I317+I320+I323+I328</f>
        <v>0</v>
      </c>
      <c r="J311" s="42"/>
      <c r="K311" s="36">
        <f>K312+K317+K320+K323+K328</f>
        <v>0</v>
      </c>
      <c r="L311" s="58"/>
      <c r="AI311" s="42" t="s">
        <v>90</v>
      </c>
    </row>
    <row r="312" spans="1:47" ht="15" customHeight="1">
      <c r="A312" s="55"/>
      <c r="B312" s="56" t="s">
        <v>90</v>
      </c>
      <c r="C312" s="56" t="s">
        <v>668</v>
      </c>
      <c r="D312" s="122" t="s">
        <v>68</v>
      </c>
      <c r="E312" s="122"/>
      <c r="F312" s="57" t="s">
        <v>79</v>
      </c>
      <c r="G312" s="57" t="s">
        <v>79</v>
      </c>
      <c r="H312" s="57" t="s">
        <v>79</v>
      </c>
      <c r="I312" s="36">
        <f>SUM(I313:I315)</f>
        <v>0</v>
      </c>
      <c r="J312" s="42"/>
      <c r="K312" s="36">
        <f>SUM(K313:K315)</f>
        <v>0</v>
      </c>
      <c r="L312" s="58"/>
      <c r="AI312" s="42" t="s">
        <v>90</v>
      </c>
      <c r="AS312" s="36">
        <f>SUM(AJ313:AJ315)</f>
        <v>0</v>
      </c>
      <c r="AT312" s="36">
        <f>SUM(AK313:AK315)</f>
        <v>0</v>
      </c>
      <c r="AU312" s="36">
        <f>SUM(AL313:AL315)</f>
        <v>0</v>
      </c>
    </row>
    <row r="313" spans="1:75" ht="13.5" customHeight="1">
      <c r="A313" s="30" t="s">
        <v>707</v>
      </c>
      <c r="B313" s="3" t="s">
        <v>90</v>
      </c>
      <c r="C313" s="3" t="s">
        <v>669</v>
      </c>
      <c r="D313" s="78" t="s">
        <v>68</v>
      </c>
      <c r="E313" s="78"/>
      <c r="F313" s="3" t="s">
        <v>670</v>
      </c>
      <c r="G313" s="31">
        <v>1</v>
      </c>
      <c r="H313" s="31">
        <v>0</v>
      </c>
      <c r="I313" s="31">
        <f>G313*H313</f>
        <v>0</v>
      </c>
      <c r="J313" s="31">
        <v>0</v>
      </c>
      <c r="K313" s="31">
        <f>G313*J313</f>
        <v>0</v>
      </c>
      <c r="L313" s="59"/>
      <c r="Z313" s="31">
        <f>IF(AQ313="5",BJ313,0)</f>
        <v>0</v>
      </c>
      <c r="AB313" s="31">
        <f>IF(AQ313="1",BH313,0)</f>
        <v>0</v>
      </c>
      <c r="AC313" s="31">
        <f>IF(AQ313="1",BI313,0)</f>
        <v>0</v>
      </c>
      <c r="AD313" s="31">
        <f>IF(AQ313="7",BH313,0)</f>
        <v>0</v>
      </c>
      <c r="AE313" s="31">
        <f>IF(AQ313="7",BI313,0)</f>
        <v>0</v>
      </c>
      <c r="AF313" s="31">
        <f>IF(AQ313="2",BH313,0)</f>
        <v>0</v>
      </c>
      <c r="AG313" s="31">
        <f>IF(AQ313="2",BI313,0)</f>
        <v>0</v>
      </c>
      <c r="AH313" s="31">
        <f>IF(AQ313="0",BJ313,0)</f>
        <v>0</v>
      </c>
      <c r="AI313" s="42" t="s">
        <v>90</v>
      </c>
      <c r="AJ313" s="31">
        <f>IF(AN313=0,I313,0)</f>
        <v>0</v>
      </c>
      <c r="AK313" s="31">
        <f>IF(AN313=12,I313,0)</f>
        <v>0</v>
      </c>
      <c r="AL313" s="31">
        <f>IF(AN313=21,I313,0)</f>
        <v>0</v>
      </c>
      <c r="AN313" s="31">
        <v>21</v>
      </c>
      <c r="AO313" s="31">
        <f>H313*0</f>
        <v>0</v>
      </c>
      <c r="AP313" s="31">
        <f>H313*(1-0)</f>
        <v>0</v>
      </c>
      <c r="AQ313" s="32" t="s">
        <v>606</v>
      </c>
      <c r="AV313" s="31">
        <f>AW313+AX313</f>
        <v>0</v>
      </c>
      <c r="AW313" s="31">
        <f>G313*AO313</f>
        <v>0</v>
      </c>
      <c r="AX313" s="31">
        <f>G313*AP313</f>
        <v>0</v>
      </c>
      <c r="AY313" s="32" t="s">
        <v>671</v>
      </c>
      <c r="AZ313" s="32" t="s">
        <v>672</v>
      </c>
      <c r="BA313" s="42" t="s">
        <v>673</v>
      </c>
      <c r="BC313" s="31">
        <f>AW313+AX313</f>
        <v>0</v>
      </c>
      <c r="BD313" s="31">
        <f>H313/(100-BE313)*100</f>
        <v>0</v>
      </c>
      <c r="BE313" s="31">
        <v>0</v>
      </c>
      <c r="BF313" s="31">
        <f>K313</f>
        <v>0</v>
      </c>
      <c r="BH313" s="31">
        <f>G313*AO313</f>
        <v>0</v>
      </c>
      <c r="BI313" s="31">
        <f>G313*AP313</f>
        <v>0</v>
      </c>
      <c r="BJ313" s="31">
        <f>G313*H313</f>
        <v>0</v>
      </c>
      <c r="BK313" s="31"/>
      <c r="BL313" s="31"/>
      <c r="BM313" s="31">
        <f>G313*H313</f>
        <v>0</v>
      </c>
      <c r="BW313" s="31">
        <v>21</v>
      </c>
    </row>
    <row r="314" spans="1:12" ht="15" customHeight="1">
      <c r="A314" s="60"/>
      <c r="D314" s="61" t="s">
        <v>121</v>
      </c>
      <c r="E314" s="62"/>
      <c r="G314" s="63">
        <v>1</v>
      </c>
      <c r="L314" s="64"/>
    </row>
    <row r="315" spans="1:75" ht="13.5" customHeight="1">
      <c r="A315" s="30" t="s">
        <v>708</v>
      </c>
      <c r="B315" s="3" t="s">
        <v>90</v>
      </c>
      <c r="C315" s="3" t="s">
        <v>675</v>
      </c>
      <c r="D315" s="78" t="s">
        <v>676</v>
      </c>
      <c r="E315" s="78"/>
      <c r="F315" s="3" t="s">
        <v>670</v>
      </c>
      <c r="G315" s="31">
        <v>1</v>
      </c>
      <c r="H315" s="31">
        <v>0</v>
      </c>
      <c r="I315" s="31">
        <f>G315*H315</f>
        <v>0</v>
      </c>
      <c r="J315" s="31">
        <v>0</v>
      </c>
      <c r="K315" s="31">
        <f>G315*J315</f>
        <v>0</v>
      </c>
      <c r="L315" s="59"/>
      <c r="Z315" s="31">
        <f>IF(AQ315="5",BJ315,0)</f>
        <v>0</v>
      </c>
      <c r="AB315" s="31">
        <f>IF(AQ315="1",BH315,0)</f>
        <v>0</v>
      </c>
      <c r="AC315" s="31">
        <f>IF(AQ315="1",BI315,0)</f>
        <v>0</v>
      </c>
      <c r="AD315" s="31">
        <f>IF(AQ315="7",BH315,0)</f>
        <v>0</v>
      </c>
      <c r="AE315" s="31">
        <f>IF(AQ315="7",BI315,0)</f>
        <v>0</v>
      </c>
      <c r="AF315" s="31">
        <f>IF(AQ315="2",BH315,0)</f>
        <v>0</v>
      </c>
      <c r="AG315" s="31">
        <f>IF(AQ315="2",BI315,0)</f>
        <v>0</v>
      </c>
      <c r="AH315" s="31">
        <f>IF(AQ315="0",BJ315,0)</f>
        <v>0</v>
      </c>
      <c r="AI315" s="42" t="s">
        <v>90</v>
      </c>
      <c r="AJ315" s="31">
        <f>IF(AN315=0,I315,0)</f>
        <v>0</v>
      </c>
      <c r="AK315" s="31">
        <f>IF(AN315=12,I315,0)</f>
        <v>0</v>
      </c>
      <c r="AL315" s="31">
        <f>IF(AN315=21,I315,0)</f>
        <v>0</v>
      </c>
      <c r="AN315" s="31">
        <v>21</v>
      </c>
      <c r="AO315" s="31">
        <f>H315*0</f>
        <v>0</v>
      </c>
      <c r="AP315" s="31">
        <f>H315*(1-0)</f>
        <v>0</v>
      </c>
      <c r="AQ315" s="32" t="s">
        <v>606</v>
      </c>
      <c r="AV315" s="31">
        <f>AW315+AX315</f>
        <v>0</v>
      </c>
      <c r="AW315" s="31">
        <f>G315*AO315</f>
        <v>0</v>
      </c>
      <c r="AX315" s="31">
        <f>G315*AP315</f>
        <v>0</v>
      </c>
      <c r="AY315" s="32" t="s">
        <v>671</v>
      </c>
      <c r="AZ315" s="32" t="s">
        <v>672</v>
      </c>
      <c r="BA315" s="42" t="s">
        <v>673</v>
      </c>
      <c r="BC315" s="31">
        <f>AW315+AX315</f>
        <v>0</v>
      </c>
      <c r="BD315" s="31">
        <f>H315/(100-BE315)*100</f>
        <v>0</v>
      </c>
      <c r="BE315" s="31">
        <v>0</v>
      </c>
      <c r="BF315" s="31">
        <f>K315</f>
        <v>0</v>
      </c>
      <c r="BH315" s="31">
        <f>G315*AO315</f>
        <v>0</v>
      </c>
      <c r="BI315" s="31">
        <f>G315*AP315</f>
        <v>0</v>
      </c>
      <c r="BJ315" s="31">
        <f>G315*H315</f>
        <v>0</v>
      </c>
      <c r="BK315" s="31"/>
      <c r="BL315" s="31"/>
      <c r="BM315" s="31">
        <f>G315*H315</f>
        <v>0</v>
      </c>
      <c r="BW315" s="31">
        <v>21</v>
      </c>
    </row>
    <row r="316" spans="1:12" ht="15" customHeight="1">
      <c r="A316" s="60"/>
      <c r="D316" s="61" t="s">
        <v>121</v>
      </c>
      <c r="E316" s="62"/>
      <c r="G316" s="63">
        <v>1</v>
      </c>
      <c r="L316" s="64"/>
    </row>
    <row r="317" spans="1:47" ht="15" customHeight="1">
      <c r="A317" s="55"/>
      <c r="B317" s="56" t="s">
        <v>90</v>
      </c>
      <c r="C317" s="56" t="s">
        <v>678</v>
      </c>
      <c r="D317" s="122" t="s">
        <v>24</v>
      </c>
      <c r="E317" s="122"/>
      <c r="F317" s="57" t="s">
        <v>79</v>
      </c>
      <c r="G317" s="57" t="s">
        <v>79</v>
      </c>
      <c r="H317" s="57" t="s">
        <v>79</v>
      </c>
      <c r="I317" s="36">
        <f>SUM(I318:I318)</f>
        <v>0</v>
      </c>
      <c r="J317" s="42"/>
      <c r="K317" s="36">
        <f>SUM(K318:K318)</f>
        <v>0</v>
      </c>
      <c r="L317" s="58"/>
      <c r="AI317" s="42" t="s">
        <v>90</v>
      </c>
      <c r="AS317" s="36">
        <f>SUM(AJ318:AJ318)</f>
        <v>0</v>
      </c>
      <c r="AT317" s="36">
        <f>SUM(AK318:AK318)</f>
        <v>0</v>
      </c>
      <c r="AU317" s="36">
        <f>SUM(AL318:AL318)</f>
        <v>0</v>
      </c>
    </row>
    <row r="318" spans="1:75" ht="13.5" customHeight="1">
      <c r="A318" s="30" t="s">
        <v>709</v>
      </c>
      <c r="B318" s="3" t="s">
        <v>90</v>
      </c>
      <c r="C318" s="3" t="s">
        <v>679</v>
      </c>
      <c r="D318" s="78" t="s">
        <v>24</v>
      </c>
      <c r="E318" s="78"/>
      <c r="F318" s="3" t="s">
        <v>670</v>
      </c>
      <c r="G318" s="31">
        <v>1</v>
      </c>
      <c r="H318" s="31">
        <v>0</v>
      </c>
      <c r="I318" s="31">
        <f>G318*H318</f>
        <v>0</v>
      </c>
      <c r="J318" s="31">
        <v>0</v>
      </c>
      <c r="K318" s="31">
        <f>G318*J318</f>
        <v>0</v>
      </c>
      <c r="L318" s="59"/>
      <c r="Z318" s="31">
        <f>IF(AQ318="5",BJ318,0)</f>
        <v>0</v>
      </c>
      <c r="AB318" s="31">
        <f>IF(AQ318="1",BH318,0)</f>
        <v>0</v>
      </c>
      <c r="AC318" s="31">
        <f>IF(AQ318="1",BI318,0)</f>
        <v>0</v>
      </c>
      <c r="AD318" s="31">
        <f>IF(AQ318="7",BH318,0)</f>
        <v>0</v>
      </c>
      <c r="AE318" s="31">
        <f>IF(AQ318="7",BI318,0)</f>
        <v>0</v>
      </c>
      <c r="AF318" s="31">
        <f>IF(AQ318="2",BH318,0)</f>
        <v>0</v>
      </c>
      <c r="AG318" s="31">
        <f>IF(AQ318="2",BI318,0)</f>
        <v>0</v>
      </c>
      <c r="AH318" s="31">
        <f>IF(AQ318="0",BJ318,0)</f>
        <v>0</v>
      </c>
      <c r="AI318" s="42" t="s">
        <v>90</v>
      </c>
      <c r="AJ318" s="31">
        <f>IF(AN318=0,I318,0)</f>
        <v>0</v>
      </c>
      <c r="AK318" s="31">
        <f>IF(AN318=12,I318,0)</f>
        <v>0</v>
      </c>
      <c r="AL318" s="31">
        <f>IF(AN318=21,I318,0)</f>
        <v>0</v>
      </c>
      <c r="AN318" s="31">
        <v>21</v>
      </c>
      <c r="AO318" s="31">
        <f>H318*0</f>
        <v>0</v>
      </c>
      <c r="AP318" s="31">
        <f>H318*(1-0)</f>
        <v>0</v>
      </c>
      <c r="AQ318" s="32" t="s">
        <v>606</v>
      </c>
      <c r="AV318" s="31">
        <f>AW318+AX318</f>
        <v>0</v>
      </c>
      <c r="AW318" s="31">
        <f>G318*AO318</f>
        <v>0</v>
      </c>
      <c r="AX318" s="31">
        <f>G318*AP318</f>
        <v>0</v>
      </c>
      <c r="AY318" s="32" t="s">
        <v>680</v>
      </c>
      <c r="AZ318" s="32" t="s">
        <v>672</v>
      </c>
      <c r="BA318" s="42" t="s">
        <v>673</v>
      </c>
      <c r="BC318" s="31">
        <f>AW318+AX318</f>
        <v>0</v>
      </c>
      <c r="BD318" s="31">
        <f>H318/(100-BE318)*100</f>
        <v>0</v>
      </c>
      <c r="BE318" s="31">
        <v>0</v>
      </c>
      <c r="BF318" s="31">
        <f>K318</f>
        <v>0</v>
      </c>
      <c r="BH318" s="31">
        <f>G318*AO318</f>
        <v>0</v>
      </c>
      <c r="BI318" s="31">
        <f>G318*AP318</f>
        <v>0</v>
      </c>
      <c r="BJ318" s="31">
        <f>G318*H318</f>
        <v>0</v>
      </c>
      <c r="BK318" s="31"/>
      <c r="BL318" s="31"/>
      <c r="BO318" s="31">
        <f>G318*H318</f>
        <v>0</v>
      </c>
      <c r="BW318" s="31">
        <v>21</v>
      </c>
    </row>
    <row r="319" spans="1:12" ht="15" customHeight="1">
      <c r="A319" s="60"/>
      <c r="D319" s="61" t="s">
        <v>121</v>
      </c>
      <c r="E319" s="62"/>
      <c r="G319" s="63">
        <v>1</v>
      </c>
      <c r="L319" s="64"/>
    </row>
    <row r="320" spans="1:47" ht="15" customHeight="1">
      <c r="A320" s="55"/>
      <c r="B320" s="56" t="s">
        <v>90</v>
      </c>
      <c r="C320" s="56" t="s">
        <v>682</v>
      </c>
      <c r="D320" s="122" t="s">
        <v>70</v>
      </c>
      <c r="E320" s="122"/>
      <c r="F320" s="57" t="s">
        <v>79</v>
      </c>
      <c r="G320" s="57" t="s">
        <v>79</v>
      </c>
      <c r="H320" s="57" t="s">
        <v>79</v>
      </c>
      <c r="I320" s="36">
        <f>SUM(I321:I321)</f>
        <v>0</v>
      </c>
      <c r="J320" s="42"/>
      <c r="K320" s="36">
        <f>SUM(K321:K321)</f>
        <v>0</v>
      </c>
      <c r="L320" s="58"/>
      <c r="AI320" s="42" t="s">
        <v>90</v>
      </c>
      <c r="AS320" s="36">
        <f>SUM(AJ321:AJ321)</f>
        <v>0</v>
      </c>
      <c r="AT320" s="36">
        <f>SUM(AK321:AK321)</f>
        <v>0</v>
      </c>
      <c r="AU320" s="36">
        <f>SUM(AL321:AL321)</f>
        <v>0</v>
      </c>
    </row>
    <row r="321" spans="1:75" ht="13.5" customHeight="1">
      <c r="A321" s="30" t="s">
        <v>710</v>
      </c>
      <c r="B321" s="3" t="s">
        <v>90</v>
      </c>
      <c r="C321" s="3" t="s">
        <v>683</v>
      </c>
      <c r="D321" s="78" t="s">
        <v>684</v>
      </c>
      <c r="E321" s="78"/>
      <c r="F321" s="3" t="s">
        <v>670</v>
      </c>
      <c r="G321" s="31">
        <v>1</v>
      </c>
      <c r="H321" s="31">
        <v>0</v>
      </c>
      <c r="I321" s="31">
        <f>G321*H321</f>
        <v>0</v>
      </c>
      <c r="J321" s="31">
        <v>0</v>
      </c>
      <c r="K321" s="31">
        <f>G321*J321</f>
        <v>0</v>
      </c>
      <c r="L321" s="59"/>
      <c r="Z321" s="31">
        <f>IF(AQ321="5",BJ321,0)</f>
        <v>0</v>
      </c>
      <c r="AB321" s="31">
        <f>IF(AQ321="1",BH321,0)</f>
        <v>0</v>
      </c>
      <c r="AC321" s="31">
        <f>IF(AQ321="1",BI321,0)</f>
        <v>0</v>
      </c>
      <c r="AD321" s="31">
        <f>IF(AQ321="7",BH321,0)</f>
        <v>0</v>
      </c>
      <c r="AE321" s="31">
        <f>IF(AQ321="7",BI321,0)</f>
        <v>0</v>
      </c>
      <c r="AF321" s="31">
        <f>IF(AQ321="2",BH321,0)</f>
        <v>0</v>
      </c>
      <c r="AG321" s="31">
        <f>IF(AQ321="2",BI321,0)</f>
        <v>0</v>
      </c>
      <c r="AH321" s="31">
        <f>IF(AQ321="0",BJ321,0)</f>
        <v>0</v>
      </c>
      <c r="AI321" s="42" t="s">
        <v>90</v>
      </c>
      <c r="AJ321" s="31">
        <f>IF(AN321=0,I321,0)</f>
        <v>0</v>
      </c>
      <c r="AK321" s="31">
        <f>IF(AN321=12,I321,0)</f>
        <v>0</v>
      </c>
      <c r="AL321" s="31">
        <f>IF(AN321=21,I321,0)</f>
        <v>0</v>
      </c>
      <c r="AN321" s="31">
        <v>21</v>
      </c>
      <c r="AO321" s="31">
        <f>H321*0</f>
        <v>0</v>
      </c>
      <c r="AP321" s="31">
        <f>H321*(1-0)</f>
        <v>0</v>
      </c>
      <c r="AQ321" s="32" t="s">
        <v>606</v>
      </c>
      <c r="AV321" s="31">
        <f>AW321+AX321</f>
        <v>0</v>
      </c>
      <c r="AW321" s="31">
        <f>G321*AO321</f>
        <v>0</v>
      </c>
      <c r="AX321" s="31">
        <f>G321*AP321</f>
        <v>0</v>
      </c>
      <c r="AY321" s="32" t="s">
        <v>685</v>
      </c>
      <c r="AZ321" s="32" t="s">
        <v>672</v>
      </c>
      <c r="BA321" s="42" t="s">
        <v>673</v>
      </c>
      <c r="BC321" s="31">
        <f>AW321+AX321</f>
        <v>0</v>
      </c>
      <c r="BD321" s="31">
        <f>H321/(100-BE321)*100</f>
        <v>0</v>
      </c>
      <c r="BE321" s="31">
        <v>0</v>
      </c>
      <c r="BF321" s="31">
        <f>K321</f>
        <v>0</v>
      </c>
      <c r="BH321" s="31">
        <f>G321*AO321</f>
        <v>0</v>
      </c>
      <c r="BI321" s="31">
        <f>G321*AP321</f>
        <v>0</v>
      </c>
      <c r="BJ321" s="31">
        <f>G321*H321</f>
        <v>0</v>
      </c>
      <c r="BK321" s="31"/>
      <c r="BL321" s="31"/>
      <c r="BP321" s="31">
        <f>G321*H321</f>
        <v>0</v>
      </c>
      <c r="BW321" s="31">
        <v>21</v>
      </c>
    </row>
    <row r="322" spans="1:12" ht="15" customHeight="1">
      <c r="A322" s="60"/>
      <c r="D322" s="61" t="s">
        <v>121</v>
      </c>
      <c r="E322" s="62"/>
      <c r="G322" s="63">
        <v>1</v>
      </c>
      <c r="L322" s="64"/>
    </row>
    <row r="323" spans="1:47" ht="15" customHeight="1">
      <c r="A323" s="55"/>
      <c r="B323" s="56" t="s">
        <v>90</v>
      </c>
      <c r="C323" s="56" t="s">
        <v>687</v>
      </c>
      <c r="D323" s="122" t="s">
        <v>71</v>
      </c>
      <c r="E323" s="122"/>
      <c r="F323" s="57" t="s">
        <v>79</v>
      </c>
      <c r="G323" s="57" t="s">
        <v>79</v>
      </c>
      <c r="H323" s="57" t="s">
        <v>79</v>
      </c>
      <c r="I323" s="36">
        <f>SUM(I324:I326)</f>
        <v>0</v>
      </c>
      <c r="J323" s="42"/>
      <c r="K323" s="36">
        <f>SUM(K324:K326)</f>
        <v>0</v>
      </c>
      <c r="L323" s="58"/>
      <c r="AI323" s="42" t="s">
        <v>90</v>
      </c>
      <c r="AS323" s="36">
        <f>SUM(AJ324:AJ326)</f>
        <v>0</v>
      </c>
      <c r="AT323" s="36">
        <f>SUM(AK324:AK326)</f>
        <v>0</v>
      </c>
      <c r="AU323" s="36">
        <f>SUM(AL324:AL326)</f>
        <v>0</v>
      </c>
    </row>
    <row r="324" spans="1:75" ht="13.5" customHeight="1">
      <c r="A324" s="30" t="s">
        <v>711</v>
      </c>
      <c r="B324" s="3" t="s">
        <v>90</v>
      </c>
      <c r="C324" s="3" t="s">
        <v>688</v>
      </c>
      <c r="D324" s="78" t="s">
        <v>689</v>
      </c>
      <c r="E324" s="78"/>
      <c r="F324" s="3" t="s">
        <v>670</v>
      </c>
      <c r="G324" s="31">
        <v>1</v>
      </c>
      <c r="H324" s="31">
        <v>0</v>
      </c>
      <c r="I324" s="31">
        <f>G324*H324</f>
        <v>0</v>
      </c>
      <c r="J324" s="31">
        <v>0</v>
      </c>
      <c r="K324" s="31">
        <f>G324*J324</f>
        <v>0</v>
      </c>
      <c r="L324" s="59"/>
      <c r="Z324" s="31">
        <f>IF(AQ324="5",BJ324,0)</f>
        <v>0</v>
      </c>
      <c r="AB324" s="31">
        <f>IF(AQ324="1",BH324,0)</f>
        <v>0</v>
      </c>
      <c r="AC324" s="31">
        <f>IF(AQ324="1",BI324,0)</f>
        <v>0</v>
      </c>
      <c r="AD324" s="31">
        <f>IF(AQ324="7",BH324,0)</f>
        <v>0</v>
      </c>
      <c r="AE324" s="31">
        <f>IF(AQ324="7",BI324,0)</f>
        <v>0</v>
      </c>
      <c r="AF324" s="31">
        <f>IF(AQ324="2",BH324,0)</f>
        <v>0</v>
      </c>
      <c r="AG324" s="31">
        <f>IF(AQ324="2",BI324,0)</f>
        <v>0</v>
      </c>
      <c r="AH324" s="31">
        <f>IF(AQ324="0",BJ324,0)</f>
        <v>0</v>
      </c>
      <c r="AI324" s="42" t="s">
        <v>90</v>
      </c>
      <c r="AJ324" s="31">
        <f>IF(AN324=0,I324,0)</f>
        <v>0</v>
      </c>
      <c r="AK324" s="31">
        <f>IF(AN324=12,I324,0)</f>
        <v>0</v>
      </c>
      <c r="AL324" s="31">
        <f>IF(AN324=21,I324,0)</f>
        <v>0</v>
      </c>
      <c r="AN324" s="31">
        <v>21</v>
      </c>
      <c r="AO324" s="31">
        <f>H324*0</f>
        <v>0</v>
      </c>
      <c r="AP324" s="31">
        <f>H324*(1-0)</f>
        <v>0</v>
      </c>
      <c r="AQ324" s="32" t="s">
        <v>606</v>
      </c>
      <c r="AV324" s="31">
        <f>AW324+AX324</f>
        <v>0</v>
      </c>
      <c r="AW324" s="31">
        <f>G324*AO324</f>
        <v>0</v>
      </c>
      <c r="AX324" s="31">
        <f>G324*AP324</f>
        <v>0</v>
      </c>
      <c r="AY324" s="32" t="s">
        <v>690</v>
      </c>
      <c r="AZ324" s="32" t="s">
        <v>672</v>
      </c>
      <c r="BA324" s="42" t="s">
        <v>673</v>
      </c>
      <c r="BC324" s="31">
        <f>AW324+AX324</f>
        <v>0</v>
      </c>
      <c r="BD324" s="31">
        <f>H324/(100-BE324)*100</f>
        <v>0</v>
      </c>
      <c r="BE324" s="31">
        <v>0</v>
      </c>
      <c r="BF324" s="31">
        <f>K324</f>
        <v>0</v>
      </c>
      <c r="BH324" s="31">
        <f>G324*AO324</f>
        <v>0</v>
      </c>
      <c r="BI324" s="31">
        <f>G324*AP324</f>
        <v>0</v>
      </c>
      <c r="BJ324" s="31">
        <f>G324*H324</f>
        <v>0</v>
      </c>
      <c r="BK324" s="31"/>
      <c r="BL324" s="31"/>
      <c r="BQ324" s="31">
        <f>G324*H324</f>
        <v>0</v>
      </c>
      <c r="BW324" s="31">
        <v>21</v>
      </c>
    </row>
    <row r="325" spans="1:12" ht="15" customHeight="1">
      <c r="A325" s="60"/>
      <c r="D325" s="61" t="s">
        <v>121</v>
      </c>
      <c r="E325" s="62"/>
      <c r="G325" s="63">
        <v>1</v>
      </c>
      <c r="L325" s="64"/>
    </row>
    <row r="326" spans="1:75" ht="13.5" customHeight="1">
      <c r="A326" s="30" t="s">
        <v>712</v>
      </c>
      <c r="B326" s="3" t="s">
        <v>90</v>
      </c>
      <c r="C326" s="3" t="s">
        <v>692</v>
      </c>
      <c r="D326" s="78" t="s">
        <v>693</v>
      </c>
      <c r="E326" s="78"/>
      <c r="F326" s="3" t="s">
        <v>670</v>
      </c>
      <c r="G326" s="31">
        <v>1</v>
      </c>
      <c r="H326" s="31">
        <v>0</v>
      </c>
      <c r="I326" s="31">
        <f>G326*H326</f>
        <v>0</v>
      </c>
      <c r="J326" s="31">
        <v>0</v>
      </c>
      <c r="K326" s="31">
        <f>G326*J326</f>
        <v>0</v>
      </c>
      <c r="L326" s="59"/>
      <c r="Z326" s="31">
        <f>IF(AQ326="5",BJ326,0)</f>
        <v>0</v>
      </c>
      <c r="AB326" s="31">
        <f>IF(AQ326="1",BH326,0)</f>
        <v>0</v>
      </c>
      <c r="AC326" s="31">
        <f>IF(AQ326="1",BI326,0)</f>
        <v>0</v>
      </c>
      <c r="AD326" s="31">
        <f>IF(AQ326="7",BH326,0)</f>
        <v>0</v>
      </c>
      <c r="AE326" s="31">
        <f>IF(AQ326="7",BI326,0)</f>
        <v>0</v>
      </c>
      <c r="AF326" s="31">
        <f>IF(AQ326="2",BH326,0)</f>
        <v>0</v>
      </c>
      <c r="AG326" s="31">
        <f>IF(AQ326="2",BI326,0)</f>
        <v>0</v>
      </c>
      <c r="AH326" s="31">
        <f>IF(AQ326="0",BJ326,0)</f>
        <v>0</v>
      </c>
      <c r="AI326" s="42" t="s">
        <v>90</v>
      </c>
      <c r="AJ326" s="31">
        <f>IF(AN326=0,I326,0)</f>
        <v>0</v>
      </c>
      <c r="AK326" s="31">
        <f>IF(AN326=12,I326,0)</f>
        <v>0</v>
      </c>
      <c r="AL326" s="31">
        <f>IF(AN326=21,I326,0)</f>
        <v>0</v>
      </c>
      <c r="AN326" s="31">
        <v>21</v>
      </c>
      <c r="AO326" s="31">
        <f>H326*0</f>
        <v>0</v>
      </c>
      <c r="AP326" s="31">
        <f>H326*(1-0)</f>
        <v>0</v>
      </c>
      <c r="AQ326" s="32" t="s">
        <v>606</v>
      </c>
      <c r="AV326" s="31">
        <f>AW326+AX326</f>
        <v>0</v>
      </c>
      <c r="AW326" s="31">
        <f>G326*AO326</f>
        <v>0</v>
      </c>
      <c r="AX326" s="31">
        <f>G326*AP326</f>
        <v>0</v>
      </c>
      <c r="AY326" s="32" t="s">
        <v>690</v>
      </c>
      <c r="AZ326" s="32" t="s">
        <v>672</v>
      </c>
      <c r="BA326" s="42" t="s">
        <v>673</v>
      </c>
      <c r="BC326" s="31">
        <f>AW326+AX326</f>
        <v>0</v>
      </c>
      <c r="BD326" s="31">
        <f>H326/(100-BE326)*100</f>
        <v>0</v>
      </c>
      <c r="BE326" s="31">
        <v>0</v>
      </c>
      <c r="BF326" s="31">
        <f>K326</f>
        <v>0</v>
      </c>
      <c r="BH326" s="31">
        <f>G326*AO326</f>
        <v>0</v>
      </c>
      <c r="BI326" s="31">
        <f>G326*AP326</f>
        <v>0</v>
      </c>
      <c r="BJ326" s="31">
        <f>G326*H326</f>
        <v>0</v>
      </c>
      <c r="BK326" s="31"/>
      <c r="BL326" s="31"/>
      <c r="BQ326" s="31">
        <f>G326*H326</f>
        <v>0</v>
      </c>
      <c r="BW326" s="31">
        <v>21</v>
      </c>
    </row>
    <row r="327" spans="1:12" ht="15" customHeight="1">
      <c r="A327" s="60"/>
      <c r="D327" s="61" t="s">
        <v>121</v>
      </c>
      <c r="E327" s="62"/>
      <c r="G327" s="63">
        <v>1</v>
      </c>
      <c r="L327" s="64"/>
    </row>
    <row r="328" spans="1:47" ht="15" customHeight="1">
      <c r="A328" s="55"/>
      <c r="B328" s="56" t="s">
        <v>90</v>
      </c>
      <c r="C328" s="56" t="s">
        <v>695</v>
      </c>
      <c r="D328" s="122" t="s">
        <v>31</v>
      </c>
      <c r="E328" s="122"/>
      <c r="F328" s="57" t="s">
        <v>79</v>
      </c>
      <c r="G328" s="57" t="s">
        <v>79</v>
      </c>
      <c r="H328" s="57" t="s">
        <v>79</v>
      </c>
      <c r="I328" s="36">
        <f>SUM(I329:I329)</f>
        <v>0</v>
      </c>
      <c r="J328" s="42"/>
      <c r="K328" s="36">
        <f>SUM(K329:K329)</f>
        <v>0</v>
      </c>
      <c r="L328" s="58"/>
      <c r="AI328" s="42" t="s">
        <v>90</v>
      </c>
      <c r="AS328" s="36">
        <f>SUM(AJ329:AJ329)</f>
        <v>0</v>
      </c>
      <c r="AT328" s="36">
        <f>SUM(AK329:AK329)</f>
        <v>0</v>
      </c>
      <c r="AU328" s="36">
        <f>SUM(AL329:AL329)</f>
        <v>0</v>
      </c>
    </row>
    <row r="329" spans="1:75" ht="13.5" customHeight="1">
      <c r="A329" s="30" t="s">
        <v>713</v>
      </c>
      <c r="B329" s="3" t="s">
        <v>90</v>
      </c>
      <c r="C329" s="3" t="s">
        <v>696</v>
      </c>
      <c r="D329" s="78" t="s">
        <v>697</v>
      </c>
      <c r="E329" s="78"/>
      <c r="F329" s="3" t="s">
        <v>670</v>
      </c>
      <c r="G329" s="31">
        <v>1</v>
      </c>
      <c r="H329" s="31">
        <v>0</v>
      </c>
      <c r="I329" s="31">
        <f>G329*H329</f>
        <v>0</v>
      </c>
      <c r="J329" s="31">
        <v>0</v>
      </c>
      <c r="K329" s="31">
        <f>G329*J329</f>
        <v>0</v>
      </c>
      <c r="L329" s="59"/>
      <c r="Z329" s="31">
        <f>IF(AQ329="5",BJ329,0)</f>
        <v>0</v>
      </c>
      <c r="AB329" s="31">
        <f>IF(AQ329="1",BH329,0)</f>
        <v>0</v>
      </c>
      <c r="AC329" s="31">
        <f>IF(AQ329="1",BI329,0)</f>
        <v>0</v>
      </c>
      <c r="AD329" s="31">
        <f>IF(AQ329="7",BH329,0)</f>
        <v>0</v>
      </c>
      <c r="AE329" s="31">
        <f>IF(AQ329="7",BI329,0)</f>
        <v>0</v>
      </c>
      <c r="AF329" s="31">
        <f>IF(AQ329="2",BH329,0)</f>
        <v>0</v>
      </c>
      <c r="AG329" s="31">
        <f>IF(AQ329="2",BI329,0)</f>
        <v>0</v>
      </c>
      <c r="AH329" s="31">
        <f>IF(AQ329="0",BJ329,0)</f>
        <v>0</v>
      </c>
      <c r="AI329" s="42" t="s">
        <v>90</v>
      </c>
      <c r="AJ329" s="31">
        <f>IF(AN329=0,I329,0)</f>
        <v>0</v>
      </c>
      <c r="AK329" s="31">
        <f>IF(AN329=12,I329,0)</f>
        <v>0</v>
      </c>
      <c r="AL329" s="31">
        <f>IF(AN329=21,I329,0)</f>
        <v>0</v>
      </c>
      <c r="AN329" s="31">
        <v>21</v>
      </c>
      <c r="AO329" s="31">
        <f>H329*0</f>
        <v>0</v>
      </c>
      <c r="AP329" s="31">
        <f>H329*(1-0)</f>
        <v>0</v>
      </c>
      <c r="AQ329" s="32" t="s">
        <v>606</v>
      </c>
      <c r="AV329" s="31">
        <f>AW329+AX329</f>
        <v>0</v>
      </c>
      <c r="AW329" s="31">
        <f>G329*AO329</f>
        <v>0</v>
      </c>
      <c r="AX329" s="31">
        <f>G329*AP329</f>
        <v>0</v>
      </c>
      <c r="AY329" s="32" t="s">
        <v>698</v>
      </c>
      <c r="AZ329" s="32" t="s">
        <v>672</v>
      </c>
      <c r="BA329" s="42" t="s">
        <v>673</v>
      </c>
      <c r="BC329" s="31">
        <f>AW329+AX329</f>
        <v>0</v>
      </c>
      <c r="BD329" s="31">
        <f>H329/(100-BE329)*100</f>
        <v>0</v>
      </c>
      <c r="BE329" s="31">
        <v>0</v>
      </c>
      <c r="BF329" s="31">
        <f>K329</f>
        <v>0</v>
      </c>
      <c r="BH329" s="31">
        <f>G329*AO329</f>
        <v>0</v>
      </c>
      <c r="BI329" s="31">
        <f>G329*AP329</f>
        <v>0</v>
      </c>
      <c r="BJ329" s="31">
        <f>G329*H329</f>
        <v>0</v>
      </c>
      <c r="BK329" s="31"/>
      <c r="BL329" s="31"/>
      <c r="BS329" s="31">
        <f>G329*H329</f>
        <v>0</v>
      </c>
      <c r="BW329" s="31">
        <v>21</v>
      </c>
    </row>
    <row r="330" spans="1:12" ht="15" customHeight="1">
      <c r="A330" s="65"/>
      <c r="B330" s="66"/>
      <c r="C330" s="66"/>
      <c r="D330" s="67" t="s">
        <v>121</v>
      </c>
      <c r="E330" s="68"/>
      <c r="F330" s="66"/>
      <c r="G330" s="69">
        <v>1</v>
      </c>
      <c r="H330" s="66"/>
      <c r="I330" s="66"/>
      <c r="J330" s="66"/>
      <c r="K330" s="66"/>
      <c r="L330" s="70"/>
    </row>
    <row r="331" ht="15" customHeight="1">
      <c r="I331" s="35">
        <f>ROUND(I13+I20+I29+I37+I50+I129+I172+I231+I241+I260+I277+I279+I307+I312+I317+I320+I323+I328,0)</f>
        <v>0</v>
      </c>
    </row>
    <row r="332" ht="15" customHeight="1">
      <c r="A332" s="17" t="s">
        <v>55</v>
      </c>
    </row>
    <row r="333" spans="1:12" ht="13.5" customHeight="1">
      <c r="A333" s="78" t="s">
        <v>92</v>
      </c>
      <c r="B333" s="78"/>
      <c r="C333" s="78"/>
      <c r="D333" s="78"/>
      <c r="E333" s="78"/>
      <c r="F333" s="78"/>
      <c r="G333" s="78"/>
      <c r="H333" s="78"/>
      <c r="I333" s="78"/>
      <c r="J333" s="78"/>
      <c r="K333" s="78"/>
      <c r="L333" s="78"/>
    </row>
  </sheetData>
  <sheetProtection selectLockedCells="1" selectUnlockedCells="1"/>
  <mergeCells count="169">
    <mergeCell ref="D323:E323"/>
    <mergeCell ref="D324:E324"/>
    <mergeCell ref="D326:E326"/>
    <mergeCell ref="D328:E328"/>
    <mergeCell ref="D329:E329"/>
    <mergeCell ref="A333:L333"/>
    <mergeCell ref="D313:E313"/>
    <mergeCell ref="D315:E315"/>
    <mergeCell ref="D317:E317"/>
    <mergeCell ref="D318:E318"/>
    <mergeCell ref="D320:E320"/>
    <mergeCell ref="D321:E321"/>
    <mergeCell ref="D306:E306"/>
    <mergeCell ref="D307:E307"/>
    <mergeCell ref="D308:E308"/>
    <mergeCell ref="D310:E310"/>
    <mergeCell ref="D311:E311"/>
    <mergeCell ref="D312:E312"/>
    <mergeCell ref="D294:E294"/>
    <mergeCell ref="D296:E296"/>
    <mergeCell ref="D298:E298"/>
    <mergeCell ref="D300:E300"/>
    <mergeCell ref="D302:E302"/>
    <mergeCell ref="D304:E304"/>
    <mergeCell ref="D279:E279"/>
    <mergeCell ref="D280:E280"/>
    <mergeCell ref="D286:E286"/>
    <mergeCell ref="D288:E288"/>
    <mergeCell ref="D290:E290"/>
    <mergeCell ref="D292:E292"/>
    <mergeCell ref="D269:E269"/>
    <mergeCell ref="D271:E271"/>
    <mergeCell ref="D273:E273"/>
    <mergeCell ref="D275:E275"/>
    <mergeCell ref="D277:E277"/>
    <mergeCell ref="D278:E278"/>
    <mergeCell ref="D258:E258"/>
    <mergeCell ref="D260:E260"/>
    <mergeCell ref="D261:E261"/>
    <mergeCell ref="D263:E263"/>
    <mergeCell ref="D265:E265"/>
    <mergeCell ref="D267:E267"/>
    <mergeCell ref="D237:E237"/>
    <mergeCell ref="D239:E239"/>
    <mergeCell ref="D241:E241"/>
    <mergeCell ref="D242:E242"/>
    <mergeCell ref="D244:E244"/>
    <mergeCell ref="D256:E256"/>
    <mergeCell ref="D225:E225"/>
    <mergeCell ref="D227:E227"/>
    <mergeCell ref="D229:E229"/>
    <mergeCell ref="D231:E231"/>
    <mergeCell ref="D232:E232"/>
    <mergeCell ref="D234:E234"/>
    <mergeCell ref="D211:E211"/>
    <mergeCell ref="D213:E213"/>
    <mergeCell ref="D215:E215"/>
    <mergeCell ref="D218:E218"/>
    <mergeCell ref="D221:E221"/>
    <mergeCell ref="D223:E223"/>
    <mergeCell ref="D191:E191"/>
    <mergeCell ref="D193:E193"/>
    <mergeCell ref="D201:E201"/>
    <mergeCell ref="D203:E203"/>
    <mergeCell ref="D206:E206"/>
    <mergeCell ref="D209:E209"/>
    <mergeCell ref="D173:E173"/>
    <mergeCell ref="D181:E181"/>
    <mergeCell ref="D183:E183"/>
    <mergeCell ref="D185:E185"/>
    <mergeCell ref="D187:E187"/>
    <mergeCell ref="D189:E189"/>
    <mergeCell ref="D162:E162"/>
    <mergeCell ref="D164:E164"/>
    <mergeCell ref="D166:E166"/>
    <mergeCell ref="D168:E168"/>
    <mergeCell ref="D170:E170"/>
    <mergeCell ref="D172:E172"/>
    <mergeCell ref="D150:E150"/>
    <mergeCell ref="D152:E152"/>
    <mergeCell ref="D154:E154"/>
    <mergeCell ref="D156:E156"/>
    <mergeCell ref="D158:E158"/>
    <mergeCell ref="D160:E160"/>
    <mergeCell ref="D138:E138"/>
    <mergeCell ref="D140:E140"/>
    <mergeCell ref="D142:E142"/>
    <mergeCell ref="D144:E144"/>
    <mergeCell ref="D146:E146"/>
    <mergeCell ref="D148:E148"/>
    <mergeCell ref="D126:E126"/>
    <mergeCell ref="D129:E129"/>
    <mergeCell ref="D130:E130"/>
    <mergeCell ref="D132:E132"/>
    <mergeCell ref="D134:E134"/>
    <mergeCell ref="D136:E136"/>
    <mergeCell ref="D112:E112"/>
    <mergeCell ref="D114:E114"/>
    <mergeCell ref="D116:E116"/>
    <mergeCell ref="D118:E118"/>
    <mergeCell ref="D121:E121"/>
    <mergeCell ref="D124:E124"/>
    <mergeCell ref="D96:E96"/>
    <mergeCell ref="D98:E98"/>
    <mergeCell ref="D101:E101"/>
    <mergeCell ref="D103:E103"/>
    <mergeCell ref="D106:E106"/>
    <mergeCell ref="D109:E109"/>
    <mergeCell ref="D72:E72"/>
    <mergeCell ref="D74:E74"/>
    <mergeCell ref="D84:E84"/>
    <mergeCell ref="D87:E87"/>
    <mergeCell ref="D91:E91"/>
    <mergeCell ref="D93:E93"/>
    <mergeCell ref="D51:E51"/>
    <mergeCell ref="D60:E60"/>
    <mergeCell ref="D63:E63"/>
    <mergeCell ref="D65:E65"/>
    <mergeCell ref="D68:E68"/>
    <mergeCell ref="D70:E70"/>
    <mergeCell ref="D38:E38"/>
    <mergeCell ref="D40:E40"/>
    <mergeCell ref="D43:E43"/>
    <mergeCell ref="D46:E46"/>
    <mergeCell ref="D48:E48"/>
    <mergeCell ref="D50:E50"/>
    <mergeCell ref="D27:E27"/>
    <mergeCell ref="D29:E29"/>
    <mergeCell ref="D30:E30"/>
    <mergeCell ref="D32:E32"/>
    <mergeCell ref="D35:E35"/>
    <mergeCell ref="D37:E37"/>
    <mergeCell ref="D16:E16"/>
    <mergeCell ref="D18:E18"/>
    <mergeCell ref="D20:E20"/>
    <mergeCell ref="D21:E21"/>
    <mergeCell ref="D23:E23"/>
    <mergeCell ref="D25:E25"/>
    <mergeCell ref="D10:E10"/>
    <mergeCell ref="J10:K10"/>
    <mergeCell ref="D11:E11"/>
    <mergeCell ref="D12:E12"/>
    <mergeCell ref="D13:E13"/>
    <mergeCell ref="D14:E14"/>
    <mergeCell ref="A8:C9"/>
    <mergeCell ref="D8:E9"/>
    <mergeCell ref="F8:G9"/>
    <mergeCell ref="H8:H9"/>
    <mergeCell ref="I8:I9"/>
    <mergeCell ref="J8:L9"/>
    <mergeCell ref="A6:C7"/>
    <mergeCell ref="D6:E7"/>
    <mergeCell ref="F6:G7"/>
    <mergeCell ref="H6:H7"/>
    <mergeCell ref="I6:I7"/>
    <mergeCell ref="J6:L7"/>
    <mergeCell ref="A4:C5"/>
    <mergeCell ref="D4:E5"/>
    <mergeCell ref="F4:G5"/>
    <mergeCell ref="H4:H5"/>
    <mergeCell ref="I4:I5"/>
    <mergeCell ref="J4:L5"/>
    <mergeCell ref="A1:L1"/>
    <mergeCell ref="A2:C3"/>
    <mergeCell ref="D2:E3"/>
    <mergeCell ref="F2:G3"/>
    <mergeCell ref="H2:H3"/>
    <mergeCell ref="I2:I3"/>
    <mergeCell ref="J2:L3"/>
  </mergeCells>
  <printOptions/>
  <pageMargins left="0.39375" right="0.39375" top="0.5909722222222222" bottom="0.5909722222222222" header="0.5118110236220472" footer="0.5118110236220472"/>
  <pageSetup fitToHeight="0" fitToWidth="1"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Absolon</dc:creator>
  <cp:keywords/>
  <dc:description/>
  <cp:lastModifiedBy>Petr Absolon</cp:lastModifiedBy>
  <dcterms:created xsi:type="dcterms:W3CDTF">2024-02-07T07:54:01Z</dcterms:created>
  <dcterms:modified xsi:type="dcterms:W3CDTF">2024-02-07T08:00:39Z</dcterms:modified>
  <cp:category/>
  <cp:version/>
  <cp:contentType/>
  <cp:contentStatus/>
</cp:coreProperties>
</file>